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iisdnet-my.sharepoint.com/personal/eepp_iisd_ca/Documents/2024-shared/ELP/SSI/carbon/thematic-review/"/>
    </mc:Choice>
  </mc:AlternateContent>
  <xr:revisionPtr revIDLastSave="228" documentId="8_{A73248C9-1A87-44F4-AD66-0969E48E4517}" xr6:coauthVersionLast="47" xr6:coauthVersionMax="47" xr10:uidLastSave="{57A585FC-4E3D-47DB-9F37-AD521BB9EA95}"/>
  <bookViews>
    <workbookView xWindow="41520" yWindow="312" windowWidth="28860" windowHeight="15240" xr2:uid="{011870A6-14AD-46CA-AD2C-D185347D88F2}"/>
  </bookViews>
  <sheets>
    <sheet name="READ ME" sheetId="2" r:id="rId1"/>
    <sheet name="Questionnaire" sheetId="1" r:id="rId2"/>
    <sheet name="Scorecards" sheetId="5" r:id="rId3"/>
    <sheet name="CARE Results" sheetId="7" r:id="rId4"/>
  </sheets>
  <definedNames>
    <definedName name="_xlnm._FilterDatabase" localSheetId="2" hidden="1">Scorecards!$B$4:$M$517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0" i="7" l="1"/>
  <c r="Y50" i="7"/>
  <c r="X50" i="7"/>
  <c r="W50" i="7"/>
  <c r="V50" i="7"/>
  <c r="U50" i="7"/>
  <c r="T50" i="7"/>
  <c r="S50" i="7"/>
  <c r="R50" i="7"/>
  <c r="Q50" i="7"/>
  <c r="P50" i="7"/>
  <c r="O50" i="7"/>
  <c r="Z35" i="7"/>
  <c r="X35" i="7"/>
  <c r="W35" i="7"/>
  <c r="V35" i="7"/>
  <c r="U35" i="7"/>
  <c r="T35" i="7"/>
  <c r="S35" i="7"/>
  <c r="R35" i="7"/>
  <c r="Q35" i="7"/>
  <c r="P35" i="7"/>
  <c r="O35" i="7"/>
  <c r="Z34" i="7"/>
  <c r="X34" i="7"/>
  <c r="Z33" i="7"/>
  <c r="X33" i="7"/>
  <c r="Z32" i="7"/>
  <c r="X32" i="7"/>
  <c r="Z31" i="7"/>
  <c r="X31" i="7"/>
  <c r="Z30" i="7"/>
  <c r="X30" i="7"/>
  <c r="Z29" i="7"/>
  <c r="X29" i="7"/>
  <c r="Z28" i="7"/>
  <c r="X28" i="7"/>
  <c r="Z26" i="7"/>
  <c r="P26" i="7"/>
  <c r="Y26" i="7"/>
  <c r="X26" i="7"/>
  <c r="W26" i="7"/>
  <c r="V26" i="7"/>
  <c r="U26" i="7"/>
  <c r="T26" i="7"/>
  <c r="S26" i="7"/>
  <c r="R26" i="7"/>
  <c r="Q26" i="7"/>
  <c r="Z20" i="7"/>
  <c r="Z21" i="7"/>
  <c r="Z22" i="7"/>
  <c r="Z23" i="7"/>
  <c r="Z24" i="7"/>
  <c r="Z25" i="7"/>
  <c r="X25" i="7"/>
  <c r="X24" i="7"/>
  <c r="X23" i="7"/>
  <c r="X22" i="7"/>
  <c r="X21" i="7"/>
  <c r="X20" i="7"/>
  <c r="X19" i="7"/>
  <c r="X18" i="7"/>
  <c r="Z17" i="7"/>
  <c r="X17" i="7"/>
  <c r="X6" i="7"/>
  <c r="X15" i="7" s="1"/>
  <c r="W15" i="7"/>
  <c r="V15" i="7"/>
  <c r="U15" i="7"/>
  <c r="T15" i="7"/>
  <c r="S15" i="7"/>
  <c r="R15" i="7"/>
  <c r="Q15" i="7"/>
  <c r="P15" i="7"/>
  <c r="X14" i="7"/>
  <c r="X13" i="7"/>
  <c r="X12" i="7"/>
  <c r="X11" i="7"/>
  <c r="X10" i="7"/>
  <c r="X9" i="7"/>
  <c r="X8" i="7"/>
  <c r="X7" i="7"/>
  <c r="Y7" i="7"/>
  <c r="Y8" i="7"/>
  <c r="Y15" i="7" s="1"/>
  <c r="Q21" i="7"/>
  <c r="P6" i="7"/>
  <c r="Q6" i="7"/>
  <c r="R6" i="7"/>
  <c r="T6" i="7"/>
  <c r="V6" i="7"/>
  <c r="W6" i="7"/>
  <c r="P7" i="7"/>
  <c r="Q7" i="7"/>
  <c r="R7" i="7"/>
  <c r="T7" i="7"/>
  <c r="V7" i="7"/>
  <c r="W7" i="7"/>
  <c r="P8" i="7"/>
  <c r="Q8" i="7"/>
  <c r="R8" i="7"/>
  <c r="T8" i="7"/>
  <c r="V8" i="7"/>
  <c r="W8" i="7"/>
  <c r="P9" i="7"/>
  <c r="Q9" i="7"/>
  <c r="R9" i="7"/>
  <c r="T9" i="7"/>
  <c r="V9" i="7"/>
  <c r="W9" i="7"/>
  <c r="P10" i="7"/>
  <c r="Q10" i="7"/>
  <c r="R10" i="7"/>
  <c r="T10" i="7"/>
  <c r="V10" i="7"/>
  <c r="W10" i="7"/>
  <c r="P11" i="7"/>
  <c r="Q11" i="7"/>
  <c r="R11" i="7"/>
  <c r="T11" i="7"/>
  <c r="V11" i="7"/>
  <c r="W11" i="7"/>
  <c r="P12" i="7"/>
  <c r="Q12" i="7"/>
  <c r="R12" i="7"/>
  <c r="T12" i="7"/>
  <c r="V12" i="7"/>
  <c r="W12" i="7"/>
  <c r="P13" i="7"/>
  <c r="Q13" i="7"/>
  <c r="R13" i="7"/>
  <c r="T13" i="7"/>
  <c r="V13" i="7"/>
  <c r="W13" i="7"/>
  <c r="P14" i="7"/>
  <c r="Q14" i="7"/>
  <c r="R14" i="7"/>
  <c r="T14" i="7"/>
  <c r="V14" i="7"/>
  <c r="W14" i="7"/>
  <c r="Z6" i="7" l="1"/>
  <c r="Z15" i="7"/>
  <c r="Z7" i="7"/>
  <c r="W49" i="7"/>
  <c r="AJ49" i="7" s="1"/>
  <c r="V49" i="7"/>
  <c r="AI49" i="7" s="1"/>
  <c r="AH49" i="7"/>
  <c r="T49" i="7"/>
  <c r="AG49" i="7" s="1"/>
  <c r="AF49" i="7"/>
  <c r="R49" i="7"/>
  <c r="AE49" i="7" s="1"/>
  <c r="Q49" i="7"/>
  <c r="AD49" i="7" s="1"/>
  <c r="P49" i="7"/>
  <c r="AC49" i="7" s="1"/>
  <c r="AB49" i="7"/>
  <c r="W48" i="7"/>
  <c r="AJ48" i="7" s="1"/>
  <c r="V48" i="7"/>
  <c r="AI48" i="7" s="1"/>
  <c r="AH48" i="7"/>
  <c r="T48" i="7"/>
  <c r="AG48" i="7" s="1"/>
  <c r="AF48" i="7"/>
  <c r="R48" i="7"/>
  <c r="AE48" i="7" s="1"/>
  <c r="Q48" i="7"/>
  <c r="AD48" i="7" s="1"/>
  <c r="P48" i="7"/>
  <c r="AC48" i="7" s="1"/>
  <c r="AB48" i="7"/>
  <c r="W47" i="7"/>
  <c r="AJ47" i="7" s="1"/>
  <c r="V47" i="7"/>
  <c r="AI47" i="7" s="1"/>
  <c r="AH47" i="7"/>
  <c r="T47" i="7"/>
  <c r="AG47" i="7" s="1"/>
  <c r="AF47" i="7"/>
  <c r="R47" i="7"/>
  <c r="AE47" i="7" s="1"/>
  <c r="Q47" i="7"/>
  <c r="AD47" i="7" s="1"/>
  <c r="P47" i="7"/>
  <c r="AC47" i="7" s="1"/>
  <c r="AB47" i="7"/>
  <c r="W46" i="7"/>
  <c r="AJ46" i="7" s="1"/>
  <c r="V46" i="7"/>
  <c r="AI46" i="7" s="1"/>
  <c r="AH46" i="7"/>
  <c r="T46" i="7"/>
  <c r="AG46" i="7" s="1"/>
  <c r="AF46" i="7"/>
  <c r="R46" i="7"/>
  <c r="AE46" i="7" s="1"/>
  <c r="Q46" i="7"/>
  <c r="AD46" i="7" s="1"/>
  <c r="P46" i="7"/>
  <c r="AC46" i="7" s="1"/>
  <c r="AB46" i="7"/>
  <c r="W45" i="7"/>
  <c r="AJ45" i="7" s="1"/>
  <c r="V45" i="7"/>
  <c r="AI45" i="7" s="1"/>
  <c r="AH45" i="7"/>
  <c r="T45" i="7"/>
  <c r="AG45" i="7" s="1"/>
  <c r="AF45" i="7"/>
  <c r="R45" i="7"/>
  <c r="AE45" i="7" s="1"/>
  <c r="Q45" i="7"/>
  <c r="AD45" i="7" s="1"/>
  <c r="P45" i="7"/>
  <c r="AC45" i="7" s="1"/>
  <c r="AB45" i="7"/>
  <c r="W44" i="7"/>
  <c r="AJ44" i="7" s="1"/>
  <c r="V44" i="7"/>
  <c r="AI44" i="7" s="1"/>
  <c r="AH44" i="7"/>
  <c r="T44" i="7"/>
  <c r="AG44" i="7" s="1"/>
  <c r="AF44" i="7"/>
  <c r="R44" i="7"/>
  <c r="AE44" i="7" s="1"/>
  <c r="Q44" i="7"/>
  <c r="AD44" i="7" s="1"/>
  <c r="P44" i="7"/>
  <c r="AC44" i="7" s="1"/>
  <c r="AB44" i="7"/>
  <c r="W43" i="7"/>
  <c r="AJ43" i="7" s="1"/>
  <c r="V43" i="7"/>
  <c r="AI43" i="7" s="1"/>
  <c r="AH43" i="7"/>
  <c r="T43" i="7"/>
  <c r="AG43" i="7" s="1"/>
  <c r="AF43" i="7"/>
  <c r="R43" i="7"/>
  <c r="AE43" i="7" s="1"/>
  <c r="Q43" i="7"/>
  <c r="AD43" i="7" s="1"/>
  <c r="P43" i="7"/>
  <c r="AC43" i="7" s="1"/>
  <c r="AB43" i="7"/>
  <c r="W42" i="7"/>
  <c r="AJ42" i="7" s="1"/>
  <c r="V42" i="7"/>
  <c r="AI42" i="7" s="1"/>
  <c r="AH42" i="7"/>
  <c r="T42" i="7"/>
  <c r="AG42" i="7" s="1"/>
  <c r="AF42" i="7"/>
  <c r="R42" i="7"/>
  <c r="AE42" i="7" s="1"/>
  <c r="Q42" i="7"/>
  <c r="AD42" i="7" s="1"/>
  <c r="P42" i="7"/>
  <c r="AC42" i="7" s="1"/>
  <c r="AB42" i="7"/>
  <c r="W41" i="7"/>
  <c r="AJ41" i="7" s="1"/>
  <c r="V41" i="7"/>
  <c r="AI41" i="7" s="1"/>
  <c r="AH41" i="7"/>
  <c r="T41" i="7"/>
  <c r="AG41" i="7" s="1"/>
  <c r="AF41" i="7"/>
  <c r="R41" i="7"/>
  <c r="AE41" i="7" s="1"/>
  <c r="Q41" i="7"/>
  <c r="AD41" i="7" s="1"/>
  <c r="P41" i="7"/>
  <c r="AC41" i="7" s="1"/>
  <c r="AB41" i="7"/>
  <c r="W40" i="7"/>
  <c r="AJ40" i="7" s="1"/>
  <c r="V40" i="7"/>
  <c r="AI40" i="7" s="1"/>
  <c r="AH40" i="7"/>
  <c r="T40" i="7"/>
  <c r="AG40" i="7" s="1"/>
  <c r="AF40" i="7"/>
  <c r="R40" i="7"/>
  <c r="AE40" i="7" s="1"/>
  <c r="Q40" i="7"/>
  <c r="AD40" i="7" s="1"/>
  <c r="P40" i="7"/>
  <c r="AC40" i="7" s="1"/>
  <c r="AB40" i="7"/>
  <c r="W39" i="7"/>
  <c r="AJ39" i="7" s="1"/>
  <c r="V39" i="7"/>
  <c r="AI39" i="7" s="1"/>
  <c r="AH39" i="7"/>
  <c r="T39" i="7"/>
  <c r="AG39" i="7" s="1"/>
  <c r="AF39" i="7"/>
  <c r="R39" i="7"/>
  <c r="AE39" i="7" s="1"/>
  <c r="Q39" i="7"/>
  <c r="AD39" i="7" s="1"/>
  <c r="P39" i="7"/>
  <c r="AC39" i="7" s="1"/>
  <c r="AB39" i="7"/>
  <c r="W38" i="7"/>
  <c r="AJ38" i="7" s="1"/>
  <c r="V38" i="7"/>
  <c r="AI38" i="7" s="1"/>
  <c r="AH38" i="7"/>
  <c r="T38" i="7"/>
  <c r="AG38" i="7" s="1"/>
  <c r="AF38" i="7"/>
  <c r="R38" i="7"/>
  <c r="AE38" i="7" s="1"/>
  <c r="Q38" i="7"/>
  <c r="AD38" i="7" s="1"/>
  <c r="P38" i="7"/>
  <c r="AC38" i="7" s="1"/>
  <c r="AB38" i="7"/>
  <c r="W37" i="7"/>
  <c r="AJ37" i="7" s="1"/>
  <c r="V37" i="7"/>
  <c r="AI37" i="7" s="1"/>
  <c r="AH37" i="7"/>
  <c r="T37" i="7"/>
  <c r="AG37" i="7" s="1"/>
  <c r="AF37" i="7"/>
  <c r="R37" i="7"/>
  <c r="AE37" i="7" s="1"/>
  <c r="Q37" i="7"/>
  <c r="AD37" i="7" s="1"/>
  <c r="P37" i="7"/>
  <c r="AC37" i="7" s="1"/>
  <c r="AB37" i="7"/>
  <c r="Y35" i="7"/>
  <c r="W34" i="7"/>
  <c r="AJ34" i="7" s="1"/>
  <c r="V34" i="7"/>
  <c r="AI34" i="7" s="1"/>
  <c r="AH34" i="7"/>
  <c r="T34" i="7"/>
  <c r="AG34" i="7" s="1"/>
  <c r="AF34" i="7"/>
  <c r="R34" i="7"/>
  <c r="AE34" i="7" s="1"/>
  <c r="Q34" i="7"/>
  <c r="AD34" i="7" s="1"/>
  <c r="P34" i="7"/>
  <c r="AC34" i="7" s="1"/>
  <c r="AB34" i="7"/>
  <c r="W33" i="7"/>
  <c r="AJ33" i="7" s="1"/>
  <c r="V33" i="7"/>
  <c r="AI33" i="7" s="1"/>
  <c r="AH33" i="7"/>
  <c r="T33" i="7"/>
  <c r="AG33" i="7" s="1"/>
  <c r="AF33" i="7"/>
  <c r="R33" i="7"/>
  <c r="AE33" i="7" s="1"/>
  <c r="Q33" i="7"/>
  <c r="AD33" i="7" s="1"/>
  <c r="P33" i="7"/>
  <c r="AC33" i="7" s="1"/>
  <c r="AB33" i="7"/>
  <c r="W32" i="7"/>
  <c r="AJ32" i="7" s="1"/>
  <c r="V32" i="7"/>
  <c r="AI32" i="7" s="1"/>
  <c r="AH32" i="7"/>
  <c r="T32" i="7"/>
  <c r="AG32" i="7" s="1"/>
  <c r="AF32" i="7"/>
  <c r="R32" i="7"/>
  <c r="AE32" i="7" s="1"/>
  <c r="Q32" i="7"/>
  <c r="AD32" i="7" s="1"/>
  <c r="P32" i="7"/>
  <c r="AC32" i="7" s="1"/>
  <c r="AB32" i="7"/>
  <c r="W31" i="7"/>
  <c r="AJ31" i="7" s="1"/>
  <c r="V31" i="7"/>
  <c r="AI31" i="7" s="1"/>
  <c r="AH31" i="7"/>
  <c r="T31" i="7"/>
  <c r="AG31" i="7" s="1"/>
  <c r="AF31" i="7"/>
  <c r="R31" i="7"/>
  <c r="AE31" i="7" s="1"/>
  <c r="Q31" i="7"/>
  <c r="AD31" i="7" s="1"/>
  <c r="P31" i="7"/>
  <c r="AC31" i="7" s="1"/>
  <c r="AB31" i="7"/>
  <c r="W30" i="7"/>
  <c r="AJ30" i="7" s="1"/>
  <c r="V30" i="7"/>
  <c r="AI30" i="7" s="1"/>
  <c r="AH30" i="7"/>
  <c r="T30" i="7"/>
  <c r="AG30" i="7" s="1"/>
  <c r="AF30" i="7"/>
  <c r="R30" i="7"/>
  <c r="AE30" i="7" s="1"/>
  <c r="Q30" i="7"/>
  <c r="AD30" i="7" s="1"/>
  <c r="P30" i="7"/>
  <c r="AC30" i="7" s="1"/>
  <c r="AB30" i="7"/>
  <c r="W29" i="7"/>
  <c r="AJ29" i="7" s="1"/>
  <c r="V29" i="7"/>
  <c r="AI29" i="7" s="1"/>
  <c r="AH29" i="7"/>
  <c r="T29" i="7"/>
  <c r="AG29" i="7" s="1"/>
  <c r="AF29" i="7"/>
  <c r="R29" i="7"/>
  <c r="AE29" i="7" s="1"/>
  <c r="Q29" i="7"/>
  <c r="AD29" i="7" s="1"/>
  <c r="P29" i="7"/>
  <c r="AC29" i="7" s="1"/>
  <c r="AB29" i="7"/>
  <c r="W28" i="7"/>
  <c r="AJ28" i="7" s="1"/>
  <c r="V28" i="7"/>
  <c r="AI28" i="7" s="1"/>
  <c r="AH28" i="7"/>
  <c r="T28" i="7"/>
  <c r="AG28" i="7" s="1"/>
  <c r="AF28" i="7"/>
  <c r="R28" i="7"/>
  <c r="AE28" i="7" s="1"/>
  <c r="Q28" i="7"/>
  <c r="AD28" i="7" s="1"/>
  <c r="P28" i="7"/>
  <c r="AC28" i="7" s="1"/>
  <c r="AB28" i="7"/>
  <c r="W25" i="7"/>
  <c r="AJ25" i="7" s="1"/>
  <c r="V25" i="7"/>
  <c r="AI25" i="7" s="1"/>
  <c r="AH25" i="7"/>
  <c r="T25" i="7"/>
  <c r="AG25" i="7" s="1"/>
  <c r="AF25" i="7"/>
  <c r="R25" i="7"/>
  <c r="AE25" i="7" s="1"/>
  <c r="Q25" i="7"/>
  <c r="AD25" i="7" s="1"/>
  <c r="P25" i="7"/>
  <c r="AC25" i="7" s="1"/>
  <c r="AB25" i="7"/>
  <c r="W24" i="7"/>
  <c r="AJ24" i="7" s="1"/>
  <c r="V24" i="7"/>
  <c r="AI24" i="7" s="1"/>
  <c r="AH24" i="7"/>
  <c r="T24" i="7"/>
  <c r="AG24" i="7" s="1"/>
  <c r="AF24" i="7"/>
  <c r="R24" i="7"/>
  <c r="AE24" i="7" s="1"/>
  <c r="Q24" i="7"/>
  <c r="AD24" i="7" s="1"/>
  <c r="P24" i="7"/>
  <c r="AC24" i="7" s="1"/>
  <c r="AB24" i="7"/>
  <c r="W23" i="7"/>
  <c r="AJ23" i="7" s="1"/>
  <c r="V23" i="7"/>
  <c r="AI23" i="7" s="1"/>
  <c r="AH23" i="7"/>
  <c r="T23" i="7"/>
  <c r="AG23" i="7" s="1"/>
  <c r="AF23" i="7"/>
  <c r="R23" i="7"/>
  <c r="AE23" i="7" s="1"/>
  <c r="Q23" i="7"/>
  <c r="AD23" i="7" s="1"/>
  <c r="P23" i="7"/>
  <c r="AC23" i="7" s="1"/>
  <c r="AB23" i="7"/>
  <c r="W22" i="7"/>
  <c r="AJ22" i="7" s="1"/>
  <c r="V22" i="7"/>
  <c r="AI22" i="7" s="1"/>
  <c r="AH22" i="7"/>
  <c r="T22" i="7"/>
  <c r="AG22" i="7" s="1"/>
  <c r="AF22" i="7"/>
  <c r="R22" i="7"/>
  <c r="AE22" i="7" s="1"/>
  <c r="Q22" i="7"/>
  <c r="AD22" i="7" s="1"/>
  <c r="P22" i="7"/>
  <c r="AC22" i="7" s="1"/>
  <c r="AB22" i="7"/>
  <c r="W21" i="7"/>
  <c r="AJ21" i="7" s="1"/>
  <c r="V21" i="7"/>
  <c r="AI21" i="7" s="1"/>
  <c r="AH21" i="7"/>
  <c r="T21" i="7"/>
  <c r="AG21" i="7" s="1"/>
  <c r="AF21" i="7"/>
  <c r="R21" i="7"/>
  <c r="AE21" i="7" s="1"/>
  <c r="AD21" i="7"/>
  <c r="P21" i="7"/>
  <c r="AC21" i="7" s="1"/>
  <c r="AB21" i="7"/>
  <c r="W20" i="7"/>
  <c r="AJ20" i="7" s="1"/>
  <c r="V20" i="7"/>
  <c r="AI20" i="7" s="1"/>
  <c r="AH20" i="7"/>
  <c r="T20" i="7"/>
  <c r="AG20" i="7" s="1"/>
  <c r="AF20" i="7"/>
  <c r="R20" i="7"/>
  <c r="AE20" i="7" s="1"/>
  <c r="Q20" i="7"/>
  <c r="AD20" i="7" s="1"/>
  <c r="P20" i="7"/>
  <c r="AC20" i="7" s="1"/>
  <c r="AB20" i="7"/>
  <c r="W19" i="7"/>
  <c r="AJ19" i="7" s="1"/>
  <c r="V19" i="7"/>
  <c r="AI19" i="7" s="1"/>
  <c r="AH19" i="7"/>
  <c r="T19" i="7"/>
  <c r="AG19" i="7" s="1"/>
  <c r="AF19" i="7"/>
  <c r="R19" i="7"/>
  <c r="AE19" i="7" s="1"/>
  <c r="Q19" i="7"/>
  <c r="AD19" i="7" s="1"/>
  <c r="P19" i="7"/>
  <c r="AC19" i="7" s="1"/>
  <c r="AB19" i="7"/>
  <c r="W18" i="7"/>
  <c r="AJ18" i="7" s="1"/>
  <c r="V18" i="7"/>
  <c r="AI18" i="7" s="1"/>
  <c r="AH18" i="7"/>
  <c r="T18" i="7"/>
  <c r="AG18" i="7" s="1"/>
  <c r="AF18" i="7"/>
  <c r="R18" i="7"/>
  <c r="AE18" i="7" s="1"/>
  <c r="Q18" i="7"/>
  <c r="AD18" i="7" s="1"/>
  <c r="P18" i="7"/>
  <c r="AC18" i="7" s="1"/>
  <c r="AB18" i="7"/>
  <c r="W17" i="7"/>
  <c r="AJ17" i="7" s="1"/>
  <c r="V17" i="7"/>
  <c r="AI17" i="7" s="1"/>
  <c r="AH17" i="7"/>
  <c r="T17" i="7"/>
  <c r="AG17" i="7" s="1"/>
  <c r="AF17" i="7"/>
  <c r="R17" i="7"/>
  <c r="AE17" i="7" s="1"/>
  <c r="Q17" i="7"/>
  <c r="AD17" i="7" s="1"/>
  <c r="P17" i="7"/>
  <c r="AC17" i="7" s="1"/>
  <c r="AB17" i="7"/>
  <c r="AJ14" i="7"/>
  <c r="AI14" i="7"/>
  <c r="AH14" i="7"/>
  <c r="AG14" i="7"/>
  <c r="AF14" i="7"/>
  <c r="AE14" i="7"/>
  <c r="AD14" i="7"/>
  <c r="AC14" i="7"/>
  <c r="AB14" i="7"/>
  <c r="AJ13" i="7"/>
  <c r="AI13" i="7"/>
  <c r="AH13" i="7"/>
  <c r="AG13" i="7"/>
  <c r="AF13" i="7"/>
  <c r="AE13" i="7"/>
  <c r="AD13" i="7"/>
  <c r="AC13" i="7"/>
  <c r="AB13" i="7"/>
  <c r="AJ12" i="7"/>
  <c r="AI12" i="7"/>
  <c r="AH12" i="7"/>
  <c r="AG12" i="7"/>
  <c r="AF12" i="7"/>
  <c r="AE12" i="7"/>
  <c r="AD12" i="7"/>
  <c r="AC12" i="7"/>
  <c r="AB12" i="7"/>
  <c r="AJ11" i="7"/>
  <c r="AI11" i="7"/>
  <c r="AH11" i="7"/>
  <c r="AG11" i="7"/>
  <c r="AF11" i="7"/>
  <c r="AE11" i="7"/>
  <c r="AD11" i="7"/>
  <c r="AC11" i="7"/>
  <c r="AB11" i="7"/>
  <c r="AJ10" i="7"/>
  <c r="AI10" i="7"/>
  <c r="AH10" i="7"/>
  <c r="AG10" i="7"/>
  <c r="AF10" i="7"/>
  <c r="AE10" i="7"/>
  <c r="AD10" i="7"/>
  <c r="AC10" i="7"/>
  <c r="AB10" i="7"/>
  <c r="AJ9" i="7"/>
  <c r="AI9" i="7"/>
  <c r="AH9" i="7"/>
  <c r="AG9" i="7"/>
  <c r="AF9" i="7"/>
  <c r="AE9" i="7"/>
  <c r="AD9" i="7"/>
  <c r="AC9" i="7"/>
  <c r="AB9" i="7"/>
  <c r="AJ6" i="7"/>
  <c r="AI6" i="7"/>
  <c r="AH6" i="7"/>
  <c r="AG6" i="7"/>
  <c r="AF6" i="7"/>
  <c r="AE6" i="7"/>
  <c r="AD6" i="7"/>
  <c r="AC6" i="7"/>
  <c r="AB6" i="7"/>
  <c r="AK19" i="7" l="1"/>
  <c r="AK23" i="7"/>
  <c r="AK20" i="7"/>
  <c r="AK24" i="7"/>
  <c r="AK30" i="7"/>
  <c r="AK34" i="7"/>
  <c r="AK40" i="7"/>
  <c r="AK44" i="7"/>
  <c r="AK48" i="7"/>
  <c r="AK29" i="7"/>
  <c r="AK33" i="7"/>
  <c r="AK39" i="7"/>
  <c r="AK43" i="7"/>
  <c r="AK47" i="7"/>
  <c r="AK22" i="7"/>
  <c r="AK28" i="7"/>
  <c r="AK21" i="7"/>
  <c r="AK25" i="7"/>
  <c r="AK32" i="7"/>
  <c r="AK17" i="7"/>
  <c r="AK31" i="7"/>
  <c r="AK18" i="7"/>
  <c r="AK38" i="7"/>
  <c r="AK42" i="7"/>
  <c r="AK46" i="7"/>
  <c r="AK37" i="7"/>
  <c r="AK41" i="7"/>
  <c r="AK45" i="7"/>
  <c r="AK49" i="7"/>
  <c r="AK12" i="7"/>
  <c r="AK14" i="7"/>
  <c r="AK6" i="7"/>
  <c r="AK9" i="7"/>
  <c r="AK10" i="7"/>
  <c r="AK11" i="7"/>
  <c r="AK13" i="7"/>
  <c r="X40" i="7"/>
  <c r="Z40" i="7" s="1"/>
  <c r="AH26" i="7"/>
  <c r="AH55" i="7" s="1"/>
  <c r="X39" i="7"/>
  <c r="Z39" i="7" s="1"/>
  <c r="AC50" i="7"/>
  <c r="AC57" i="7" s="1"/>
  <c r="AD26" i="7"/>
  <c r="AD55" i="7" s="1"/>
  <c r="AJ26" i="7"/>
  <c r="AJ55" i="7" s="1"/>
  <c r="AE26" i="7"/>
  <c r="AE55" i="7" s="1"/>
  <c r="Z13" i="7"/>
  <c r="AD50" i="7"/>
  <c r="AD57" i="7" s="1"/>
  <c r="AI26" i="7"/>
  <c r="AI55" i="7" s="1"/>
  <c r="X38" i="7"/>
  <c r="Z38" i="7" s="1"/>
  <c r="AE50" i="7"/>
  <c r="AE57" i="7" s="1"/>
  <c r="X47" i="7"/>
  <c r="Z47" i="7" s="1"/>
  <c r="AB26" i="7"/>
  <c r="AB55" i="7" s="1"/>
  <c r="X49" i="7"/>
  <c r="Z49" i="7" s="1"/>
  <c r="AE35" i="7"/>
  <c r="AE56" i="7" s="1"/>
  <c r="Z19" i="7"/>
  <c r="AF35" i="7"/>
  <c r="AF56" i="7" s="1"/>
  <c r="AF26" i="7"/>
  <c r="AF55" i="7" s="1"/>
  <c r="AG35" i="7"/>
  <c r="AG56" i="7" s="1"/>
  <c r="AB50" i="7"/>
  <c r="AB57" i="7" s="1"/>
  <c r="AG26" i="7"/>
  <c r="AG55" i="7" s="1"/>
  <c r="AH35" i="7"/>
  <c r="AH56" i="7" s="1"/>
  <c r="X48" i="7"/>
  <c r="Z48" i="7" s="1"/>
  <c r="Z10" i="7"/>
  <c r="Z18" i="7"/>
  <c r="AJ50" i="7"/>
  <c r="AJ57" i="7" s="1"/>
  <c r="X44" i="7"/>
  <c r="Z44" i="7" s="1"/>
  <c r="AJ35" i="7"/>
  <c r="AJ56" i="7" s="1"/>
  <c r="AG50" i="7"/>
  <c r="AG57" i="7" s="1"/>
  <c r="X42" i="7"/>
  <c r="Z42" i="7" s="1"/>
  <c r="AI35" i="7"/>
  <c r="AI56" i="7" s="1"/>
  <c r="Z12" i="7"/>
  <c r="X37" i="7"/>
  <c r="Z9" i="7"/>
  <c r="Z11" i="7"/>
  <c r="Z14" i="7"/>
  <c r="AC26" i="7"/>
  <c r="AC55" i="7" s="1"/>
  <c r="AI50" i="7"/>
  <c r="AI57" i="7" s="1"/>
  <c r="AB35" i="7"/>
  <c r="AB56" i="7" s="1"/>
  <c r="AF50" i="7"/>
  <c r="AF57" i="7" s="1"/>
  <c r="X43" i="7"/>
  <c r="Z43" i="7" s="1"/>
  <c r="X46" i="7"/>
  <c r="Z46" i="7" s="1"/>
  <c r="AC35" i="7"/>
  <c r="AC56" i="7" s="1"/>
  <c r="X41" i="7"/>
  <c r="Z41" i="7" s="1"/>
  <c r="AH50" i="7"/>
  <c r="AH57" i="7" s="1"/>
  <c r="AD35" i="7"/>
  <c r="AD56" i="7" s="1"/>
  <c r="X45" i="7"/>
  <c r="Z45" i="7" s="1"/>
  <c r="AK57" i="7" l="1"/>
  <c r="AK56" i="7"/>
  <c r="AK55" i="7"/>
  <c r="AK35" i="7"/>
  <c r="AK26" i="7"/>
  <c r="AK50" i="7"/>
  <c r="N15" i="7"/>
  <c r="F15" i="7"/>
  <c r="H15" i="7"/>
  <c r="L15" i="7"/>
  <c r="I15" i="7"/>
  <c r="K15" i="7"/>
  <c r="J15" i="7"/>
  <c r="G15" i="7"/>
  <c r="M15" i="7"/>
  <c r="Z37" i="7"/>
  <c r="AI8" i="7"/>
  <c r="AJ8" i="7"/>
  <c r="Z8" i="7"/>
  <c r="AD8" i="7"/>
  <c r="AE8" i="7"/>
  <c r="AE7" i="7"/>
  <c r="AD7" i="7"/>
  <c r="AC8" i="7"/>
  <c r="AG7" i="7" l="1"/>
  <c r="AH7" i="7"/>
  <c r="AC7" i="7"/>
  <c r="AI7" i="7"/>
  <c r="AG8" i="7"/>
  <c r="AF8" i="7"/>
  <c r="AF7" i="7"/>
  <c r="AJ7" i="7"/>
  <c r="AB8" i="7"/>
  <c r="AH8" i="7"/>
  <c r="AB7" i="7"/>
  <c r="AK7" i="7" l="1"/>
  <c r="AK8" i="7"/>
  <c r="AG15" i="7"/>
  <c r="AG54" i="7" s="1"/>
  <c r="AG58" i="7" s="1"/>
  <c r="AB15" i="7"/>
  <c r="AE15" i="7"/>
  <c r="AE54" i="7" s="1"/>
  <c r="AE58" i="7" s="1"/>
  <c r="AC15" i="7"/>
  <c r="AC54" i="7" s="1"/>
  <c r="AC58" i="7" s="1"/>
  <c r="AF15" i="7"/>
  <c r="AF54" i="7" s="1"/>
  <c r="AF58" i="7" s="1"/>
  <c r="AH15" i="7"/>
  <c r="AH54" i="7" s="1"/>
  <c r="AH58" i="7" s="1"/>
  <c r="AJ15" i="7"/>
  <c r="AJ54" i="7" s="1"/>
  <c r="AJ58" i="7" s="1"/>
  <c r="AI15" i="7"/>
  <c r="AI54" i="7" s="1"/>
  <c r="AI58" i="7" s="1"/>
  <c r="AD15" i="7"/>
  <c r="AD54" i="7" s="1"/>
  <c r="AD58" i="7" s="1"/>
  <c r="AK15" i="7" l="1"/>
  <c r="AB54" i="7"/>
  <c r="AB58" i="7" l="1"/>
  <c r="AK54" i="7"/>
  <c r="AK5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tc={0A723308-772A-4479-9958-A4ECCE7D3C57}</author>
    <author>tc={2AB02E2F-01F3-454D-B929-9EC758534EA0}</author>
  </authors>
  <commentList>
    <comment ref="L127" authorId="0" shapeId="0" xr:uid="{0A723308-772A-4479-9958-A4ECCE7D3C57}">
      <text>
        <t>[Threaded comment]
Your version of Excel allows you to read this threaded comment; however, any edits to it will get removed if the file is opened in a newer version of Excel. Learn more: https://go.microsoft.com/fwlink/?linkid=870924
Comment:
    ======
ID#AAAAvGE9ysU
Austin Whitman    (2023-04-14 16:21:14)
For clarity: we do not require companies to go through the SBTI formal process, but what you have written is correct, we require them to align with SBTI.</t>
      </text>
    </comment>
    <comment ref="L133" authorId="1" shapeId="0" xr:uid="{2AB02E2F-01F3-454D-B929-9EC758534EA0}">
      <text>
        <t>[Threaded comment]
Your version of Excel allows you to read this threaded comment; however, any edits to it will get removed if the file is opened in a newer version of Excel. Learn more: https://go.microsoft.com/fwlink/?linkid=870924
Comment:
    ======
ID#AAAAvGE9ysc
Austin Whitman    (2023-04-14 16:27:16)
This comment is inapplicable to Compensation. It refers to our reduction requirements.</t>
      </text>
    </comment>
  </commentList>
</comments>
</file>

<file path=xl/sharedStrings.xml><?xml version="1.0" encoding="utf-8"?>
<sst xmlns="http://schemas.openxmlformats.org/spreadsheetml/2006/main" count="4531" uniqueCount="691">
  <si>
    <t>Area</t>
  </si>
  <si>
    <t>Question number</t>
  </si>
  <si>
    <t>Indicator ID</t>
  </si>
  <si>
    <t>Indicator</t>
  </si>
  <si>
    <t>Assessment (value)</t>
  </si>
  <si>
    <t>Max value</t>
  </si>
  <si>
    <t>Coverage</t>
  </si>
  <si>
    <t>1</t>
  </si>
  <si>
    <t>The standard requires the participants to elaborate a GHG Inventory of Scope 1 emissions</t>
  </si>
  <si>
    <t>Yes, all certification modalities require this (2)
Some certification modalities require this or they are optional (1)
No, they not required by any certification modality (0)</t>
  </si>
  <si>
    <t>2</t>
  </si>
  <si>
    <t>The standard requires the participants to elaborate a GHG Inventory of Scope 2 emission</t>
  </si>
  <si>
    <t>3</t>
  </si>
  <si>
    <t>The standard requires the participants to elaborate a GHG Inventory of Scope 3 emission</t>
  </si>
  <si>
    <t>4</t>
  </si>
  <si>
    <t>The standard requires or suggests a specific methodology to elaborate a GHG Inventory for Scope 1 Emissions?</t>
  </si>
  <si>
    <t>Requires the use of a recognized methodology (e.g. ISO-14064, PAS 2050, GHG Protocol) (3)
Suggests the use of recognized methodologies (e.g. ISO-14064, PAS 2050, GHG Protocol) (2)
Suggests describing the methodology used by the participant (1)
Does not provide indications or suggestions (0)</t>
  </si>
  <si>
    <t>5</t>
  </si>
  <si>
    <t>The standard requires or suggests a specific methodology to elaborate a GHG Inventory for Scope 2 Emissions?</t>
  </si>
  <si>
    <t>6</t>
  </si>
  <si>
    <t>The standard requires or suggests a specific methodology to elaborate a GHG Inventory for Scope 3 Emissions?</t>
  </si>
  <si>
    <t>7</t>
  </si>
  <si>
    <t>Periodicity for the elaboration of GHG Inventory by the participant</t>
  </si>
  <si>
    <t>Yearly (2)
Every 2 -3 years (1)
Every 4 or more years or not required (0)</t>
  </si>
  <si>
    <t>8</t>
  </si>
  <si>
    <t>Process to review the information of the GHG Inventory</t>
  </si>
  <si>
    <t>Inventories are reviewed during site visits by second-party (scheme) or third-party audit (2)
Inventories are reviewed by second-party (scheme) or third-party without site visits (1)
First-party reporting only (0)</t>
  </si>
  <si>
    <t>9</t>
  </si>
  <si>
    <t>The standard requires the participants to set a strategy to reduce Scope 1 emissions</t>
  </si>
  <si>
    <t>High ambition commitment for net-zero or net removals consistent with Paris Agreement (3)
Intermediate ambition commitment implies constant emissions (2)
Low ambition commitment implies increasing emissions below increasing baseline (1)
No (0)</t>
  </si>
  <si>
    <t>10</t>
  </si>
  <si>
    <t>The standard requires the participants to set a strategy to reduce Scope 2 emissions</t>
  </si>
  <si>
    <t>11</t>
  </si>
  <si>
    <t>The standard requires the participants to set a strategy to reduce Scope 3 emissions</t>
  </si>
  <si>
    <t>12</t>
  </si>
  <si>
    <t>The standard verifies the progress towards the reduction of Scope 1 emissions</t>
  </si>
  <si>
    <t>Progress of mitigation actions is reviewed during site visits by second-party (scheme) or third-party audit (3)
Progress of mitigation actions is reviewed by second-party (scheme) or third-party without site visits (2)
Progress of mitigation actions is reviewed based on first-party reporting only (1)</t>
  </si>
  <si>
    <t>13</t>
  </si>
  <si>
    <t>The standard verifies the progress towards the reduction of Scope 2 emissions</t>
  </si>
  <si>
    <t>14</t>
  </si>
  <si>
    <t>The standard verifies the progress towards the reduction of Scope 3 emissions</t>
  </si>
  <si>
    <t>15</t>
  </si>
  <si>
    <t>The standard requires the participants to compensate Scope 1 residual emissions</t>
  </si>
  <si>
    <t>Total 100% (3)
Majority 50-99% (2)
Partially 10-50% (1)
No or Minor &lt;10% (0)</t>
  </si>
  <si>
    <t>16</t>
  </si>
  <si>
    <t>The standard requires the participants to compensate Scope 2 residual emissions</t>
  </si>
  <si>
    <t>17</t>
  </si>
  <si>
    <t>The standard requires the participants to compensate Scope 3 residual emissions</t>
  </si>
  <si>
    <t>18</t>
  </si>
  <si>
    <t>Criteria for eligibility of offsets.</t>
  </si>
  <si>
    <t>Eligible offsets are required to be endorsed by ICROA or other standard (if another, please identify it) (2)
Eligible offsets are those verified by a third -party according to the rules of the corresponding accreditation entity (1)
There are no eligibility criteria for offsets (0)</t>
  </si>
  <si>
    <t>19</t>
  </si>
  <si>
    <t>Which type of offsets are eligible for compensating residual emissions?</t>
  </si>
  <si>
    <t>Carbon removals from AFOLU projects (2)
Other carbon removal projects (2).
Emissions reductions from non-AFOLU projects (1).
Emissions reductions from AFOLU projects (1)</t>
  </si>
  <si>
    <t>20</t>
  </si>
  <si>
    <t>Cobenefits generated by offsets purchased</t>
  </si>
  <si>
    <t>Eligible offsets are required to ensure development benefits (1)
Eligible offsets are required to ensure biodiversity benefits (1)
No (0)</t>
  </si>
  <si>
    <t>21</t>
  </si>
  <si>
    <t>Criteria for handling offsets</t>
  </si>
  <si>
    <t>Consideration for Reversals of Offsets:The standard specifies contingency actions in the case that projects producing the offsets used for compensation with the certification by participants are reverted?</t>
  </si>
  <si>
    <t>Yes, it does require the replacement of offsets (2)
Yes, but it does not include additional actions (1)
No (0)</t>
  </si>
  <si>
    <t>22</t>
  </si>
  <si>
    <t>Retirement of Offsets: Proof provided of retirement of compensations</t>
  </si>
  <si>
    <t>The standard administrators or a third-party verifies in carbon registries that offsets have been retired by the participating entities (2)
The participants provide evidence to the standard of the retirement including of the offsets issued by the corresponding carbon accreditation associated to the offsets, it includes id codes of the offsets used (1)
No (0)</t>
  </si>
  <si>
    <t>23</t>
  </si>
  <si>
    <t>Double Counting of Offsets: The standard requires the participant a statement to ensure that offsets are not simultaneously used to ensure compliance with another initiative such as ETS or carbon tax.</t>
  </si>
  <si>
    <t>Yes, a third-party verifies that offsets are not reported to other initiatives (2)
Yes, the standard requires a statement (1)
No (0)</t>
  </si>
  <si>
    <t>Assurance</t>
  </si>
  <si>
    <t>24</t>
  </si>
  <si>
    <t>Availability of the standard and criteria for assessment</t>
  </si>
  <si>
    <t>The authorized standard and the guidelines for verification/certification are publicly available (2)
The authorized standard and the guidelines for verification/certification are only available for participants (1)
There are not formal and authorised standards or guidelines for verification/certification (0)</t>
  </si>
  <si>
    <t>Assurance: model description</t>
  </si>
  <si>
    <t>25</t>
  </si>
  <si>
    <t>Conformoty assessment for inventories</t>
  </si>
  <si>
    <t xml:space="preserve">The type of evidence the standard  uses for conformity assessment of GHG inventories. Self (by the participating company or organization), second party (by the standard), third party (external party). </t>
  </si>
  <si>
    <t>First-party reporting is the evidence used for conformity assessment (1)
Second party-assessment is the evidence used for conformity assessment (2)
Third party-assessment is the evidence used for conformity assessment (3)</t>
  </si>
  <si>
    <t>26</t>
  </si>
  <si>
    <t>Conformity assessment for mitigation</t>
  </si>
  <si>
    <t xml:space="preserve">The type of evidence the standard  uses for conformity assessment of mitigation strategies. Self (by the participating company or organization), second party (by the standard), third party (external party). </t>
  </si>
  <si>
    <t>27</t>
  </si>
  <si>
    <t>Conformity assessment for compensation</t>
  </si>
  <si>
    <t xml:space="preserve">The type of evidence the standard  uses for conformity assessment of compensation actions. Self (by the participating company or organization), second party (by the standard), third party (external party). </t>
  </si>
  <si>
    <t>28</t>
  </si>
  <si>
    <t>Site audit considerations</t>
  </si>
  <si>
    <t>Second or third-party site audits required</t>
  </si>
  <si>
    <t>Yes (1)
No (0)</t>
  </si>
  <si>
    <t>29</t>
  </si>
  <si>
    <t>Specifications for auditor qualifications or training</t>
  </si>
  <si>
    <t>Auditors trained and approved by initiative (1)
Reasonable auditor qualifications specified (1)</t>
  </si>
  <si>
    <t>30</t>
  </si>
  <si>
    <t>Mechanisms for ensuring audit body quality</t>
  </si>
  <si>
    <t>Audit bodies required to comply with ISO 14067or similar (1)
Audit bodies accredited to comply with ISO 14067 or similar (1)
Verified compliance with ISEAL Assurance Code (1)
Assessment report summaries publicly available (1)</t>
  </si>
  <si>
    <t>Assurance: supply chain</t>
  </si>
  <si>
    <t>31</t>
  </si>
  <si>
    <t xml:space="preserve">Initiative meets ISEAL or other assurance code </t>
  </si>
  <si>
    <t>32</t>
  </si>
  <si>
    <t>Frequency of Verification/Certification</t>
  </si>
  <si>
    <t xml:space="preserve">The standard establishes the frequency of how often organizations need to be verified/certified. </t>
  </si>
  <si>
    <t>Participating organizations need to be verified/certified annually (3)
Participating organizations need to be verified/certified every 2 to 3 years (2)
Participating organizations need to be verified/certified every 4 to 5 years (1)
Participating organizations need to be verified/certified in periods longer than 5 years (0)</t>
  </si>
  <si>
    <t>33</t>
  </si>
  <si>
    <t>Supply chain considerations</t>
  </si>
  <si>
    <t>Product certification: The scheme defines requirements that allow purchasers of certified products to identify these as having come from a certification process.</t>
  </si>
  <si>
    <t>34</t>
  </si>
  <si>
    <t>The scheme supports scheme-related claims by downstream users of certified products.</t>
  </si>
  <si>
    <t>35</t>
  </si>
  <si>
    <t>The scheme has its own standard and assurance program for traceability and claims downstream users of certified products within a supply-chain.</t>
  </si>
  <si>
    <t>Responsiveness: Adaptation</t>
  </si>
  <si>
    <t>36</t>
  </si>
  <si>
    <t>Revision period for standard</t>
  </si>
  <si>
    <t>How often is the standard reviewed, with the potential for revision to respond to changing needs and conditions?</t>
  </si>
  <si>
    <t>Specified, and at least every five years (1)
More than five years, or not specified (0)</t>
  </si>
  <si>
    <t>Responsiveness: Performance</t>
  </si>
  <si>
    <t>37</t>
  </si>
  <si>
    <t>Performance Levels</t>
  </si>
  <si>
    <t>Does the scheme explicitly identify different levels of performance of the participants related to the integration of GHG Inventories, for example through a system of ratings or scores?</t>
  </si>
  <si>
    <t>Yes (1)
No (0)
To some extent (0.5)</t>
  </si>
  <si>
    <t>38</t>
  </si>
  <si>
    <t>Does the scheme explicitly identify different levels of performance of the participants related to the reduction of emissions, for example through a system of ratings or scores?</t>
  </si>
  <si>
    <t>39</t>
  </si>
  <si>
    <t>Does the scheme explicitly identify different levels of performance of the participants related to the offsetting of residual emissions, for example through a system of ratings or scores?</t>
  </si>
  <si>
    <t>40</t>
  </si>
  <si>
    <t>Does the scheme explicitly require participants to improve their performance over time.</t>
  </si>
  <si>
    <t>Improvement required even after all requirements for initial participation have been met (1)
Some flexibility is permitted such as allowing provisional participation on condition of future improvement (0.5)
Minor non-compliance may be allowed but there are no formal mechanisms requiring improvement over time (0)</t>
  </si>
  <si>
    <t>41</t>
  </si>
  <si>
    <t>Does the scheme provide the participant with concrete incentives for exceeding basic compliance over time (e.g. reduced fees, special services)</t>
  </si>
  <si>
    <t>Responsiveness: Capacity Building</t>
  </si>
  <si>
    <t>42</t>
  </si>
  <si>
    <t>Technical assistance materials</t>
  </si>
  <si>
    <t>Does the initiative provide support to the participants other than financial, such as tools, training and guidance?</t>
  </si>
  <si>
    <t>The initiative provides/finances in-person technical assistance to participants as an ongoing aspect of its work; for example through the provision of guidance documents explaining how to meet the initiative’s requirements (1)
The initiative does not itself provide or support technical assistance (0)</t>
  </si>
  <si>
    <t>Responsiveness: Cost reduction</t>
  </si>
  <si>
    <t>43</t>
  </si>
  <si>
    <t>Are there standards or processes written specifically for SME that differ from the standards and processes for large companies?</t>
  </si>
  <si>
    <t>44</t>
  </si>
  <si>
    <t>Does the standard recognize compliance with other standards systems as full or partial compliance with its own requirements</t>
  </si>
  <si>
    <t>For three or more significant elements (1)
For one or two significant elements (0.5)
No significant elements (0)</t>
  </si>
  <si>
    <t>Engagement: Access to information</t>
  </si>
  <si>
    <t>45</t>
  </si>
  <si>
    <t>The processes undertaken by a scheme owner in setting and reviewing the standard(s) are made available online to the general public.</t>
  </si>
  <si>
    <t>Engagement: Board diversity</t>
  </si>
  <si>
    <t>46</t>
  </si>
  <si>
    <t>Proportion of board members who are from developed and developing countries.</t>
  </si>
  <si>
    <t>40-60/60-40 (2)
60-80/20-40 (1)
80-100/0-20 (0)</t>
  </si>
  <si>
    <t>47</t>
  </si>
  <si>
    <t>Proportion of board members who are men and women.</t>
  </si>
  <si>
    <t>48</t>
  </si>
  <si>
    <t>Inclusion of at least one board members broadly representative of each of the following interests:
1)Government
2)Scientific-Academia
3)Private Sector (Other)
4)SMEs
5)NGOs/CSOs
6)Citizens
7)Financial Sector</t>
  </si>
  <si>
    <t>5-7 interest groups (2)
3-4 interest groups (1)
1-2 interest groups (0)</t>
  </si>
  <si>
    <t>Engagement: stakeholder accessibility</t>
  </si>
  <si>
    <t>49</t>
  </si>
  <si>
    <t>Business and civil society stakeholders are formally consulted on the content of the standard during its development.</t>
  </si>
  <si>
    <t>50</t>
  </si>
  <si>
    <t>There is a multi-stakeholder committee that reviews the results and claims made by the organizations participating in the program</t>
  </si>
  <si>
    <t>51</t>
  </si>
  <si>
    <t>The standard body’s complaints and dispute-resolution procedures are available online in other languages (apart from English) to the general public.</t>
  </si>
  <si>
    <t>52</t>
  </si>
  <si>
    <t>Independent dispute resolution body</t>
  </si>
  <si>
    <t>A dispute settlement body that is not made up of the organization's board members has been established and formally recognized in writing</t>
  </si>
  <si>
    <t>53</t>
  </si>
  <si>
    <t>The standard body’s annual reports are made available online to the general public.</t>
  </si>
  <si>
    <t>54</t>
  </si>
  <si>
    <t>A list of the standard body’s board members is made available online to the general public</t>
  </si>
  <si>
    <t>55</t>
  </si>
  <si>
    <t>A list of the enterprises that have applied for assessment and for which assessment is not yet completed, or that have been evaluated and found not to be compliant with the scheme’s requirements, is made available online to the general public.</t>
  </si>
  <si>
    <t>56</t>
  </si>
  <si>
    <t>A list of the enterprises that are deemed to be compliant with the scheme’s requirements is made available online to the general public.</t>
  </si>
  <si>
    <t>57</t>
  </si>
  <si>
    <t>Environmental impact assessment reports submitted by the participants are made available online to the general public.</t>
  </si>
  <si>
    <t>Indicator elements</t>
  </si>
  <si>
    <t>Standard</t>
  </si>
  <si>
    <t>Score</t>
  </si>
  <si>
    <t>Notes</t>
  </si>
  <si>
    <t>Reference</t>
  </si>
  <si>
    <t>Short Guide eto ACA Nov 2020 (p. 2)</t>
  </si>
  <si>
    <t>It is required for carbon neutrality accreditation (not for mapping or reduction accreditation)</t>
  </si>
  <si>
    <t>Categorisation defined by GHG Protocol, or ISO-14064, or ACI's Airport Carbon and Emissions Reporting Tool (ACERT)</t>
  </si>
  <si>
    <t>Short Guide eto ACA Nov 2020 (p. 5)</t>
  </si>
  <si>
    <t>In 2020, Level 4 (Transformation) and 4+ (Transition) have been added to the Airport Carbon Accreditation programme to align it with the objectives of the Paris Agreement to limit the increase of global average temperature to 2°C above pre-industrial levels and aim to not exceed 1.5°C.</t>
  </si>
  <si>
    <t>ACA Application Manual Issue (p. 2)</t>
  </si>
  <si>
    <t>On-site verification is the default method of verification and must be carried out unless an airport makes written application to the Administrator for an off-site verification prior to the verification taking place.</t>
  </si>
  <si>
    <t>ACA Verifier Manual Issue (p.13)</t>
  </si>
  <si>
    <t>In order to achieve Level 3+ (Neutrality) and Level 4+ (Transition), airports shall compensate for their Scope 1 and 2 residual emissions as well as Scope 3 airport staff business travel emissions that cannot be reduced by other means by purchasing offsets.</t>
  </si>
  <si>
    <t>Short Guide eto ACA Nov 2020 (p. 9)</t>
  </si>
  <si>
    <t>No mention of ICROA, but ACA requires aiports to choose a standard form the following list (all of which are endorsed by ICROA except Label Bas Carbone): 
Clean Development Mechanism
Verified Carbon Standard
Gold Standard
Climate Action Reserve
American Carbon Registry
UK Woodland Carbon Code (for UK-based airports only)
Label Bas Carbone (for French airports only)</t>
  </si>
  <si>
    <t>ACA Offsetting Manual (p. 6)</t>
  </si>
  <si>
    <t>PAS</t>
  </si>
  <si>
    <t>SP</t>
  </si>
  <si>
    <t>CNG</t>
  </si>
  <si>
    <t>SCS</t>
  </si>
  <si>
    <t>CN</t>
  </si>
  <si>
    <t>CP</t>
  </si>
  <si>
    <t>CNN</t>
  </si>
  <si>
    <t>CIP</t>
  </si>
  <si>
    <t>ACA</t>
  </si>
  <si>
    <t>Average</t>
  </si>
  <si>
    <t>Could be based on self-assessment or third-party for three scopes (3)</t>
  </si>
  <si>
    <t xml:space="preserve"> Second party (SP), no site visits required for three scopes (6)</t>
  </si>
  <si>
    <t xml:space="preserve"> Second party with site visits required for three scopes (9)</t>
  </si>
  <si>
    <t>Second party, no site visits required for three scopes (6)</t>
  </si>
  <si>
    <t>Reviewed by third-party (9)</t>
  </si>
  <si>
    <t>Second party with site visits required for three scopes (9)</t>
  </si>
  <si>
    <t>Compensate 100% of residual emissions  (9)</t>
  </si>
  <si>
    <t>Compensate 100% of residual emissions, however, not clear how reduction is encourgaed  (9)</t>
  </si>
  <si>
    <t>Making a contribution is optional, but if they don't contirbute they won't get certification. Contribution in CERs is recommended.
Full contribution for less than scope 1+2 and partial scope 3 emissions leads to recognition 'Bronze'  (6)</t>
  </si>
  <si>
    <t>Somewhat (8)</t>
  </si>
  <si>
    <t>Somewhat, and they are ICROA members (10)</t>
  </si>
  <si>
    <t>Yes, and they are ICROA members (10)</t>
  </si>
  <si>
    <t>Somewhat, and they are ICROA members (8)</t>
  </si>
  <si>
    <t>Participants can procure their carbon credits through any channel of their choosing, most are made through CERs (0)</t>
  </si>
  <si>
    <t>Yes, plus offseting manual (10)</t>
  </si>
  <si>
    <t>No reference to ICROA, but it provides criteria and examples of the standards that can be used (5)</t>
  </si>
  <si>
    <t>Somewhat, aligned with ICROA standards (5)</t>
  </si>
  <si>
    <t>Aligned with ICROA standards, and extra criteria for additionality and insetting (6)</t>
  </si>
  <si>
    <t>Aligned with ICROA standards plus California Cap and Trade (6)</t>
  </si>
  <si>
    <t>Somewhat clear criteria (6)</t>
  </si>
  <si>
    <t>Clear criteria (6)</t>
  </si>
  <si>
    <t>Double claiming is not verified by the UNFCCC (0)</t>
  </si>
  <si>
    <t>Yes, very clear (6)</t>
  </si>
  <si>
    <t>No, upon payment (0)</t>
  </si>
  <si>
    <t>Yes, upon request (1)</t>
  </si>
  <si>
    <t>Yes (2)</t>
  </si>
  <si>
    <t>Yes, complete upon request (1)</t>
  </si>
  <si>
    <t>Accepts three types of comformoty assessment</t>
  </si>
  <si>
    <t>Second or third party</t>
  </si>
  <si>
    <t>Third party</t>
  </si>
  <si>
    <t>Yes (1)</t>
  </si>
  <si>
    <t>No (0)</t>
  </si>
  <si>
    <t>Depends (0.5)</t>
  </si>
  <si>
    <t>Provides examples of standards and codes used by certification bodies (1)</t>
  </si>
  <si>
    <t>SP doesn’t train auditors or but has strict requirements, although not outlined (0.5)</t>
  </si>
  <si>
    <t>Yes, they need to attend CNG training (1)</t>
  </si>
  <si>
    <t>SCS is the auditor (1)</t>
  </si>
  <si>
    <t>CN doesn’t train auditors but has clear requirements (1)</t>
  </si>
  <si>
    <t>CP doesn't train auditors nor provides clear requirments (0)</t>
  </si>
  <si>
    <t>Yes, clear requirements (1)</t>
  </si>
  <si>
    <t>Yes, assessment partners and providers (1)</t>
  </si>
  <si>
    <t>Provides examples of standards and codes used by certification bodies (e.g. ISO) (0.5)</t>
  </si>
  <si>
    <t>Yes, they are an ISEAL member (1)</t>
  </si>
  <si>
    <t>Not a member, but it has taken steps to align with ISEAL assurance code (0.5)</t>
  </si>
  <si>
    <t>Yearly, but not necessarilly (2)</t>
  </si>
  <si>
    <t>Yearly (3)</t>
  </si>
  <si>
    <t>For orgs. Is yearly, for products can be every 3 years (3)</t>
  </si>
  <si>
    <t>Yes, every year but depends on the level (3)</t>
  </si>
  <si>
    <t>Yes, with extra scope 3 certification (1)</t>
  </si>
  <si>
    <t>No, but scheme provides "supply chain solutions to purchase carbon neutral products from multiple different suppliers" (0.5)</t>
  </si>
  <si>
    <t>To some extent (0.5)</t>
  </si>
  <si>
    <t>NA</t>
  </si>
  <si>
    <t>Not specified, but soon to be revised (0.5)</t>
  </si>
  <si>
    <t>Not specified, but yes according to PC (1)</t>
  </si>
  <si>
    <t>Not specified, also no date on protocol document (0)</t>
  </si>
  <si>
    <t>Yearly (1)</t>
  </si>
  <si>
    <t>Just encouraged (0.5)</t>
  </si>
  <si>
    <t>e.g. Self assessment tool,Yes (1)</t>
  </si>
  <si>
    <t>ClimatePartner Academy (1)</t>
  </si>
  <si>
    <t>No, just to provide explanations and clarifications (0)</t>
  </si>
  <si>
    <t>Specific considerations for SMEs</t>
  </si>
  <si>
    <t xml:space="preserve">SMEs are not required to set targets for Scope 3. To some extent (0.5) </t>
  </si>
  <si>
    <t>To some extent, different service packages are offered depending on complexity of work and the business (0.5)</t>
  </si>
  <si>
    <t>To some extent with different levels (0.5)</t>
  </si>
  <si>
    <t>Only for emission targets (0.5)</t>
  </si>
  <si>
    <t>Recognition of compliance with other standards</t>
  </si>
  <si>
    <t>Responsiveness</t>
  </si>
  <si>
    <t>Yes, people representing Asia (1)</t>
  </si>
  <si>
    <t>Only developed countries (0)</t>
  </si>
  <si>
    <t>Information not available (0)</t>
  </si>
  <si>
    <t>The initiative is run by the secretariat. The secretariat has a policy of respecting regional representation during hiring (0.5)</t>
  </si>
  <si>
    <t>Balanced (1)</t>
  </si>
  <si>
    <t>Mostly women on the board (2)</t>
  </si>
  <si>
    <t>Moslty men (0)</t>
  </si>
  <si>
    <t>According to PC, it is balanced (1)</t>
  </si>
  <si>
    <t>Four men, one women (1)</t>
  </si>
  <si>
    <t>Mostly men  (0)</t>
  </si>
  <si>
    <t>Mostly men (0)</t>
  </si>
  <si>
    <t>Mostly private (1)</t>
  </si>
  <si>
    <t>According to PC, three interest groups (1)</t>
  </si>
  <si>
    <t>No, since it is not multi-stakeholder (0)</t>
  </si>
  <si>
    <t>A couple (1)</t>
  </si>
  <si>
    <t>To some extent, on the annual report (0.5)</t>
  </si>
  <si>
    <t xml:space="preserve">NA or 0 since it is not multi-stakeholder </t>
  </si>
  <si>
    <t>Only some examples (0.5)</t>
  </si>
  <si>
    <t>Qualifying explanatory Statement (1)</t>
  </si>
  <si>
    <t>No, just some case studies and blog posts (0.5)</t>
  </si>
  <si>
    <t>Engagement</t>
  </si>
  <si>
    <t>Qualitative assessment</t>
  </si>
  <si>
    <t>Quantitative assessment</t>
  </si>
  <si>
    <t>Normalized assesssment</t>
  </si>
  <si>
    <t>Overall</t>
  </si>
  <si>
    <t>SUMMARY</t>
  </si>
  <si>
    <t>TheCarbonNeutral Protocol, Technical Specifications Guidance (Table 3, p.25)</t>
  </si>
  <si>
    <t>Inclusion of some Scope 3 categories depends on the subject for certification.</t>
  </si>
  <si>
    <t>Accoding to standard's protocol: "The GHG Protocol Product Standard, PAS 2050,
ISO 14067 or methods set out in steps 2-7 below must be applied unless the CarbonNeutral certifier identifies valid reasons for using other methods."</t>
  </si>
  <si>
    <t>TheCarbonNeutral Protocol, Technical Specifications Guidance (p. 52)</t>
  </si>
  <si>
    <t>The Scope 3 Standard complements and builds upon the GHG Protocol Corporate Accounting and Reporting Standard</t>
  </si>
  <si>
    <t>TheCarbonNeutral Protocol, Technical Specifications Guidance (p. 30)</t>
  </si>
  <si>
    <t>TheCarbonNeutral Protocol, Technical Specifications Guidance (Table 1, p. 12)</t>
  </si>
  <si>
    <t>The CarbonNeutral certifier requires that assessments are undertaken or reviewed by a qualified independent third-party which has the responsibility for attesting that GHG assessments meet the requirements of the Protocol and are in line with the approach and principles of The CarbonNeutral Protocol.</t>
  </si>
  <si>
    <t>TheCarbonNeutral Protocol, Technical Specifications Guidance (p. 38)</t>
  </si>
  <si>
    <t>TheCarbonNeutral Protocol, Technical Specifications Guidance (p. 57)</t>
  </si>
  <si>
    <t>TheCarbonNeutral Protocol, Technical Specifications Guidance (p. 65, 72)</t>
  </si>
  <si>
    <t>"Carbon neutrality is the action taken immediately by an entity to fully compensate for the global warming impact from its greenhouse gas emissions."</t>
  </si>
  <si>
    <t>TheCarbonNeutral Protocol, Technical Specifications Guidance (p. 10, 20)</t>
  </si>
  <si>
    <t xml:space="preserve">Climate Impact Partnets are ICROA members and therefore are subject to an annual third-party audit against the requirements of the ICROA Code of Best Practice. </t>
  </si>
  <si>
    <t>TheCarbonNeutral Protocol, Technical Specifications Guidance (p. 39)</t>
  </si>
  <si>
    <t>Since based on ICROA standards.</t>
  </si>
  <si>
    <t>TheCarbonNeutral Protocol, Technical Specifications Guidance (p. 61)</t>
  </si>
  <si>
    <t>"Emissions reductions are permanent. Where reductions are generated by projects that carry risk of reversal, adequate safeguards must be in place to ensure that the risk of reversal is minimised and that, if any reversal occurs, a mechanism is in place that guarantees the reductions will be replaced."</t>
  </si>
  <si>
    <t>TheCarbonNeutral Protocol, Technical Specifications Guidance (p. 67)</t>
  </si>
  <si>
    <t>"CarbonNeutral certifier must receive full assurances from the party implementing retirement that retired credits are being applied to the Subjects/time periods and cannot in any way be deemed to have been double counted."</t>
  </si>
  <si>
    <t>TheCarbonNeutral Protocol, Technical Specifications Guidance (p. 21)</t>
  </si>
  <si>
    <t>Some projects from ICROA accredited standards ensure development and biodiversity benefits.</t>
  </si>
  <si>
    <t xml:space="preserve">Yes, since projects must be complaint with ICROA accredited standards. </t>
  </si>
  <si>
    <t>If the offsets retired by an airport are registered in a public registry, the airport shall provide a link to the relevant entry in the registry to the Administrator.</t>
  </si>
  <si>
    <t>ACA Offsetting Manual (p. 7)</t>
  </si>
  <si>
    <t>Offsetting Guidance Document includes relevant provisions. </t>
  </si>
  <si>
    <t>https://www.climateneutral.org/standards</t>
  </si>
  <si>
    <t xml:space="preserve">Requirements are only for large and medium sized brands (revenue &gt; $5 million). </t>
  </si>
  <si>
    <t xml:space="preserve">Large sized brands (revenue &gt; $100 million) are required to align with SBTi (which aligns with Paris Agreement). </t>
  </si>
  <si>
    <t xml:space="preserve">Reduction plans must include reports on progress made toward prior years’ reduction actions. In addition, at checkpoint year requirements (2025 and 2028), certified entities will be required to evaluate and report on progress. </t>
  </si>
  <si>
    <t>Target for 2030. The reduction requirement (end target) for certification of a product is: By 2030, 25%* internal reduction shall be achieved, compared to the original baseline footprint (or adjusted/corrected baseline if applicable), which is expressed per unit product."</t>
  </si>
  <si>
    <t>Target for 2030</t>
  </si>
  <si>
    <t>Carbon credits must be verified according to one of the following standards: Gold Standard, Verified Carbon Standard, Climate Action Reserve, or American Carbon Registry (except Plan Vivo). However, the standard allows Open Allocation for Carbon Dioxide Removal (CDR) Credits (up to 5% of the carbon credit portfolio may consist of CDR credits that are not verified under one or more of the ICROA accreddited standards. Credits must be issued &amp; retired in order to count toward certification).</t>
  </si>
  <si>
    <t>Yes, since carbon credits are verified by ICROA accredited standards.</t>
  </si>
  <si>
    <t>Participants can obtain proof of retirement from third-party organizations that are accredited and recognized by international standards, such as the Verified Carbon Standard (VCS) or the Gold Standard (P24)</t>
  </si>
  <si>
    <t>For Cert. of the Organisation: all own scope 1 &amp; 2 CO2eq emissions + non-attributable scope 3 CO2eq emissions
For Cert. of Product or Service: all attributable scope 3 CO2eq emissions + proportional scope 1 &amp; 2 CO2eq emissions</t>
  </si>
  <si>
    <t xml:space="preserve">For organizations, inclusion of most scope 3 emissions are optional. The mandatory categories are those related to non-product-attributable emissions, business travel, employee commuting, franchises operations (not included in scope 1 and 2), and leased company vehicles.  </t>
  </si>
  <si>
    <t>Climate Neutral Standard - Climate Neutral Certification Program vs 1.0, Sep 2020 (p.6)</t>
  </si>
  <si>
    <t>Climate Neutral Standard - Climate Neutral Certification Program vs 1.0, Sep 2020 (p.16)</t>
  </si>
  <si>
    <t>"The first audit shall be on-site (or remotely in exceptional cases)".</t>
  </si>
  <si>
    <t>"Each year, the CO compensates its remaining emissions to net zero by purchasing and retiring eligible carbon offsets, equivalent to the non-reduced emissions, either via Climate Neutral Group or other offset-brokers. Compensation shall be done for the period that the CO has made use of the Trademark and/or has made claims."</t>
  </si>
  <si>
    <t>Yes, because accredited ICROA standards sometimes ensure development and biodiversity benefits.</t>
  </si>
  <si>
    <t>Yes, since based on accredited ICROA standards.</t>
  </si>
  <si>
    <t>Climate Neutral Standard - Climate Neutral Certification Program vs 1.0, Sep 2020 (p.18)</t>
  </si>
  <si>
    <t>Climate Neutral Standard - Climate Neutral Certification Program vs 1.0, Sep 2020 (p.4)</t>
  </si>
  <si>
    <t>Assurance protocol - Climate Neutral Certification Programme vs 1.1 May 2022 (p.11)</t>
  </si>
  <si>
    <t>Climate Neutral Standard - Climate Neutral Certification Program vs 1.0, Sep 2020 (p.24)</t>
  </si>
  <si>
    <t>ICROA</t>
  </si>
  <si>
    <t>Scope 3 is required only for "Measure Gold Level"</t>
  </si>
  <si>
    <t>GHG protocol recommended</t>
  </si>
  <si>
    <t>Only for the Measure Gold Level</t>
  </si>
  <si>
    <t>"Carbon credits can be purchased from a recognized offset program under the UNFCCC is to use the UN Carbon Offset Platform. However, participants can procure their carbon credits through any channel of their choosing."</t>
  </si>
  <si>
    <t xml:space="preserve">Might generate benefits according to the definition, but it is not required. </t>
  </si>
  <si>
    <t>Climate Neutral Now, Guidelines for Participation</t>
  </si>
  <si>
    <t>Doube claiming is not verified by the UNFCCC</t>
  </si>
  <si>
    <t>No guidence on this aspect</t>
  </si>
  <si>
    <t>Making a contribution is voluntary. Contribution in CERs is recommended.
Full contribution for Scope 1 and 2 and partial 3 leads to recognition 'silver</t>
  </si>
  <si>
    <t>Making a contribution is voluntary. Contribution in CERs is recommended.
Full contribution for less than scope 1+2 and partial scope 3 emissions leads to recognition 'Bronze'</t>
  </si>
  <si>
    <t>Making a contribution is voluntary. Contribution in CERs is recommended.
Full contribution for Scopes 1,2 and 3 leads to recognition 'gold'.</t>
  </si>
  <si>
    <t>ClimatePartner Protocol p. 13</t>
  </si>
  <si>
    <t>Only certain categories of Scope 3</t>
  </si>
  <si>
    <t>ClimatePartner Protocol p. 10</t>
  </si>
  <si>
    <t xml:space="preserve">Annually for corporate carbon footprint, at least every 3 years for products, or if there is a signficant change. </t>
  </si>
  <si>
    <t>ClimatePartner Protocol p. 24</t>
  </si>
  <si>
    <t>General Check Guideline</t>
  </si>
  <si>
    <t>Recommend science-based targets with a net zero commitment</t>
  </si>
  <si>
    <t>ClimatePartner Protocol p. 28</t>
  </si>
  <si>
    <t>5% sample check</t>
  </si>
  <si>
    <t>Sample Check Guidance (DRAFT Confidential)</t>
  </si>
  <si>
    <t>"contribution shall be queal to the results of the latest carbon footprint"</t>
  </si>
  <si>
    <t>ClimatePartner Protocol p. 38</t>
  </si>
  <si>
    <t>Climate Partner is a member of ICROA</t>
  </si>
  <si>
    <t>ClimatePartner Protocol p. 35</t>
  </si>
  <si>
    <t>Some projects from ICROA accredited standards ensure development and biodiversity benefits. In addition, Climate Partner requires that "projects must be supplementary, permanent, have other effects on local development (in line with SDGs), and be audited by third parties. ClimatePartner does this by requiring at least the two following quality assurance criteria to be met before a project can be used to offset carbon: 1) The projects must be certified under an internationally accepted standard. 2) The projects must also undergo a thorough due diligence process.</t>
  </si>
  <si>
    <t>ClimatePartner Protocol p. 36</t>
  </si>
  <si>
    <t xml:space="preserve">Yes since projects must be complaint with ICROA accredited standards. </t>
  </si>
  <si>
    <t>According to standard's document: "Certified emission reductions must be clearly allocated to registered projects in registers. Each CO2 reduction may only be claimed once with a carbon credit. Duplicates are not allowed and reductions may not be counted multiple times; carbon credits must be purchased and retired transparently."</t>
  </si>
  <si>
    <t>According to standard's document "Carbon offset projects must meet four criteria in order to be recognised and certified as carbon offset projects: they must be supplementary, they must exclude double counting, they must be permanent, and they must be audited by independent third parties on a regular basis"</t>
  </si>
  <si>
    <t>PAS 2060: 2014 Specification for the demonstration of carbon neutrality (p. 7, 23)</t>
  </si>
  <si>
    <t>PAS 2060: 2014 Specification for the demonstration of carbon neutrality (p. 28)</t>
  </si>
  <si>
    <t>PAS 2060: 2014 Specification for the demonstration of carbon neutrality (p. 14)</t>
  </si>
  <si>
    <t>PAS 2060: 2014 Specification for the demonstration of carbon neutrality (p. iii)</t>
  </si>
  <si>
    <t xml:space="preserve">Progress is required and this could be based on self-assessment, or thir party verified. </t>
  </si>
  <si>
    <t>PAS 2060: 2014 Specification for the demonstration of carbon neutrality (p. 11)</t>
  </si>
  <si>
    <t>Offset residual emissions</t>
  </si>
  <si>
    <t>PAS 2060: 2014 Specification for the demonstration of carbon neutrality (p. 6)</t>
  </si>
  <si>
    <t xml:space="preserve">Does not mention ICROA, but table C.2 provides examples of schemes which can provide carbon credits and offsets that meet PAS requirements (section 9.1.2).  </t>
  </si>
  <si>
    <t>PAS 2060: 2014 Specification for the demonstration of carbon neutrality (p. 13, Table C.2 p. 29)</t>
  </si>
  <si>
    <t>PAS 2060: 2014 Specification for the demonstration of carbon neutrality (p. 13)</t>
  </si>
  <si>
    <t>"Projects involved in delivering carbon credits shall meet the criteria of additionality, permanence, leakage and double counting". Therefore, if a project is permanent, there is no reversal.</t>
  </si>
  <si>
    <t>"Credits from Carbon offset projects shall be stored and retired in an independent and credible registry or equivalent publicly available record"</t>
  </si>
  <si>
    <t>Based on double counting requirement.</t>
  </si>
  <si>
    <t>Declaration of achievement of carbon neutrality only apply to the scope/subject and period validated, and should the entity intend to extend its claim to future periods, further validation will be required. Declarations of commitment to carbon neutrality shall be valid for a maximum period of one year after which period, the qualifying conditions and actions shall be revalidated and the qualifying date(s) renewed,
accordingly.</t>
  </si>
  <si>
    <t xml:space="preserve">There are three types of declaration accepted: third party, other party validation, and self-validation. Third party verifications typically include an element of on-site assessment or remote verification activities such as virtual tours of facilities using video streaming. </t>
  </si>
  <si>
    <t>Mentions reductions with respect to baseline, however, on the protocol, there is no mention to the Paris Agreement or net-zero. The website does mention the UNSDGs. PAS2060 section 7 requires the organisation to commit to and then achieve emissions reductions for their carbon footprint. It doesn't separate out scope 1, 2 and 3 emissions, the organisation must consider all emissions which have been included in their carbon footprint.</t>
  </si>
  <si>
    <t>Does not explicitly mention type of projects, so we assume it could be anything. Annex C Table C.2 – Examples of schemes which can provide carbon credits and offsets that meet the principles in 9.1.2</t>
  </si>
  <si>
    <t>"Source of GHG emissions that are owned or controlled by an applicant."</t>
  </si>
  <si>
    <t>"Sources of GHG emissions from the generation of electricity, heat/cooling and steam that are 
consumed by the applicant but are generated by sources owned and controlled by another entity."</t>
  </si>
  <si>
    <t>"Sources of GHG emissions that are indirectly related to the entity, buildings, products and 
services consistent with the definition in the GHG Protocol, A Corporate Value Chain (Scope 3) 
Accounting and Reporting Standard."</t>
  </si>
  <si>
    <t>"The subject’s GHG emissions shall be developed in accordance with The Greenhouse Gas Protocol: Product Life Cycle Accounting and Reporting Standard, ISO 14067 or PAS 2050."</t>
  </si>
  <si>
    <t xml:space="preserve">GHG management plan is updated annually, therefore inventory should be updated every year. </t>
  </si>
  <si>
    <t>Third party is optional</t>
  </si>
  <si>
    <t>There's no reference to the Paris Agreement, but there is mention of UN SDG's. Standard does require reduction.</t>
  </si>
  <si>
    <t>SCS has a list of standards that do not make reference to ICROA, but the list includes standards endorsed by ICROA: CDM, Gold Standard, VCS, ACR, Climate Action Reserve. They also include California Cap and Trade Program which is not endorsed by ICROA.</t>
  </si>
  <si>
    <t>Standard states "credits shall be retired on a public registry"</t>
  </si>
  <si>
    <t>Yes, sinced based on ICROA accredited standards.</t>
  </si>
  <si>
    <t>There's no reference to the Paris Agreement, but there is mention of UN SDG's. Standard does require reduction. However, in the GHG management plan, the company must be able to show year-over-year (on an absolute or intensity basis) reductions to be recertified.</t>
  </si>
  <si>
    <t>SCS requires inventories to account for at least 95% of emissions.</t>
  </si>
  <si>
    <t xml:space="preserve">Scope 3 emissions are required but their extend varies depending the scope of the footprint (products, business activity, facility, or event). </t>
  </si>
  <si>
    <t>It is not explicit</t>
  </si>
  <si>
    <t>Organizations need to show a reduction plan with a 1.5°C trajectory based on near-term SBTs, which includes reduction pathways for all relevant scopes, including clear milestones.</t>
  </si>
  <si>
    <t>Organizations need to show a reduction plan with a 1.5°C trajectory based on near-term SBTs, which includes reduction pathways for all relevant scopes, including
clear milestones.</t>
  </si>
  <si>
    <t>Step 5 of the journey to climate neutrality is "Communicate and review"</t>
  </si>
  <si>
    <t>Step 4 of the journey to climate neutrality is to "compensate for 100% of all unavoidable direct and indirect emissions"</t>
  </si>
  <si>
    <t>Project Development Standards &amp; Labels with South Pole</t>
  </si>
  <si>
    <t>Are available for a fee (124 pounds)</t>
  </si>
  <si>
    <t>South Pole labels Guidance: https://www.southpole.com/sustainability-solutions/climate-neutrality-and-renewable-electricity-labels</t>
  </si>
  <si>
    <t>https://www.climateneutralcertification.com/about/climate-neutral-standard-2021/</t>
  </si>
  <si>
    <t>Trained by the program's administrator (WSP)</t>
  </si>
  <si>
    <t>ACA Verifier Manual Issue (p.5)</t>
  </si>
  <si>
    <t>https://www.climateneutralcertification.com/about/certification-bodies/</t>
  </si>
  <si>
    <t>Yes</t>
  </si>
  <si>
    <t>No</t>
  </si>
  <si>
    <t>Does not apply to airports</t>
  </si>
  <si>
    <t>Airport Carbon Accreditation - How to apply</t>
  </si>
  <si>
    <t xml:space="preserve">To some extent. Verification timelines vary depending on the level that airports are applying to. For carbon neutrality it is annually. </t>
  </si>
  <si>
    <t>Second or third party.</t>
  </si>
  <si>
    <t>Third party. "No airport operator regardless of their size, their location, or how they approach carbon management can become certified at any level of the programme without first having the details of their application fully approved by an independent verifier."</t>
  </si>
  <si>
    <t>ACA Application Manual Issue (Figure 15, p. 57)</t>
  </si>
  <si>
    <t>Second or third party. "Verification of input data, calculations and CarbonNeutral communications is at the discretion of the client. The CarbonNeutral certifier may request third-party review or verification of all or any of these aspects should its quality assurance review surface concerns about whether these are correct, complete and accurate."</t>
  </si>
  <si>
    <t>"As a member of ICROA, Climate Impact Partners is subject to an annual third-party audit against the requirements of the ICROA Code of Best Practice"</t>
  </si>
  <si>
    <t>TheCarbonNeutral Protocol, Technical Specifications Guidance (Figure 5, p. 32)</t>
  </si>
  <si>
    <t>To some extent. See figure 5.</t>
  </si>
  <si>
    <t>With CarbonNeutral label</t>
  </si>
  <si>
    <t>TheCarbonNeutral Protocol, Technical Specifications Guidance (Table 9, p. 39)</t>
  </si>
  <si>
    <t>TheCarbonNeutral Protocol, Technical Specifications Guidance (Table 9, p. 39, p. 54)</t>
  </si>
  <si>
    <t>Second or third party. Depending on brand's size and step of the certification process (measurement, reduction, compensation, or disclosure).</t>
  </si>
  <si>
    <t>Second or third party. Depending on brand's size and step of the certification process (measurement, reduction, compensation, or disclosure)</t>
  </si>
  <si>
    <t>Personal communications</t>
  </si>
  <si>
    <t>It has taken steps to align with ISEAL assurance code but is not a member</t>
  </si>
  <si>
    <t>https://www.climateneutral.org/standards and Personal communications</t>
  </si>
  <si>
    <t>Through label</t>
  </si>
  <si>
    <t>Second or third party. CNG provides a tool for self-assessment for companies to prepare for audits.</t>
  </si>
  <si>
    <t>Assurance protocol - Climate Neutral Certification Programme vs 1.1 May 2022 (p.5)</t>
  </si>
  <si>
    <t>Every year, unless in exceptional situations (good performance status)</t>
  </si>
  <si>
    <t>Assurance protocol - Climate Neutral Certification Programme vs 1.1 May 2022 (Fig.5, p.22)</t>
  </si>
  <si>
    <t>Certification body training and oversight system. Auditors need to meet a long set of qualifications.</t>
  </si>
  <si>
    <t>Assurance protocol - Climate Neutral Certification Programme vs 1.1 May 2022 (p.4)</t>
  </si>
  <si>
    <t>CNG label</t>
  </si>
  <si>
    <t>Five flexible approaches, see Table 1 on assurance protocol.</t>
  </si>
  <si>
    <t>Assurance protocol - Climate Neutral Certification Programme vs 1.1 May 2022 (p.6)</t>
  </si>
  <si>
    <t xml:space="preserve">Annual reporting. However, site audits are not mandatory. </t>
  </si>
  <si>
    <t>For organizations : yearly. For products : certification is valid for 3 years. See indicator ID 1.9</t>
  </si>
  <si>
    <t xml:space="preserve">ClimatePartner Protcol, p. 39 </t>
  </si>
  <si>
    <t>No, but scheme provides "supply chain solutions to purchase carbon neutral products from multiple different suppliers".</t>
  </si>
  <si>
    <t>ClimatePartner provides software solutions and expertise to help companies collect and evaluate supplier data, and formulate science-based targets for the entire value chain.</t>
  </si>
  <si>
    <t>ClimatePartner Protocol · Requirements for ClimatePartner certification · 29</t>
  </si>
  <si>
    <t>Depends on the period established, and could also be self-validation.</t>
  </si>
  <si>
    <t xml:space="preserve">But not necessarilly, depends on the defined period. However, where the entity intends to maintain carbon neutrality for the defined subject going forward, then the entity shall update the carbon footprint management plan at least every 12 months. </t>
  </si>
  <si>
    <t>PAS 2060: 2014 Specification for the demonstration of carbon neutrality (p. 10)</t>
  </si>
  <si>
    <t xml:space="preserve">Yes, but not as a label, just as a "representative statement" that may be used in advertising, literature, publicity, labels, and technical bulletins in printed or electronic media. ISO14067 can be used as a methodology for PAS2060 and this allows for labelling of products </t>
  </si>
  <si>
    <t>It is not ISEAL member but equivalency</t>
  </si>
  <si>
    <t xml:space="preserve">Certification Standard for Carbon Neutral Entities, Buildings, Products and Services SCS-108 Version 1.0 (January 2022) (p.8) </t>
  </si>
  <si>
    <t>SCS logo</t>
  </si>
  <si>
    <t xml:space="preserve">Insetting is explicitely recognized. </t>
  </si>
  <si>
    <t xml:space="preserve">Certification Standard for Carbon Neutral Entities, Buildings, Products and Services SCS-108 Version 1.0 (January 2022) (p.13) </t>
  </si>
  <si>
    <t>Certification Standard for Carbon Neutral Entities, Buildings, Products and Services SCS-108 Version 1.0 (January 2022)</t>
  </si>
  <si>
    <t>South Pole labels Guidance (p.10): https://www.southpole.com/sustainability-solutions/climate-neutrality-and-renewable-electricity-labels</t>
  </si>
  <si>
    <t>SP label</t>
  </si>
  <si>
    <t>Mention of insetting but not part of the label</t>
  </si>
  <si>
    <t xml:space="preserve">Not specified but it gets updated based on political developments. </t>
  </si>
  <si>
    <t>Aiports can participate at one of four progressively stringent levels of accreditation 1. Mapping; 2. Reduction; 3. Optimisation; 4. Transformation. Aiports can choose to offset their residual emissions, thereby achieving Level 3+ (Neutrality) and 4+ (Transition).</t>
  </si>
  <si>
    <t>ACA Application Manual Issue (p. 4)</t>
  </si>
  <si>
    <t xml:space="preserve">Progress depends on the level of accreditation. </t>
  </si>
  <si>
    <t>ACA Application Manual Issue (Figure 11, p. 34)</t>
  </si>
  <si>
    <t xml:space="preserve">The programme provides relevant incentives. For example, see Section 3.3.3 of the Application Manual in relation to the 3-year renewal cycle. </t>
  </si>
  <si>
    <t>ACA Application Manual Issue (p. 10)</t>
  </si>
  <si>
    <t>Technical documents and Mentorship initiative</t>
  </si>
  <si>
    <t>Small aiport group applications</t>
  </si>
  <si>
    <t>ACA Application Manual Issue (p. 61)</t>
  </si>
  <si>
    <t>Aligned with GHG Protocol and ICROA Standards</t>
  </si>
  <si>
    <t>ACA Application Manual Issue</t>
  </si>
  <si>
    <t>"the Protocol is revised and updated annually to reflect developments in climate science, international policy, standards and business practice"</t>
  </si>
  <si>
    <t>TheCarbonNeutral Protocol, Technical Specifications Guidance (p. 9)</t>
  </si>
  <si>
    <t>Second principle of the protocol is to build on conservative estimation, best practice, transparency and continuous improvement.</t>
  </si>
  <si>
    <t>TheCarbonNeutral Protocol, Technical Specifications Guidance (p. 10)</t>
  </si>
  <si>
    <t>Through Climate Impact Partners</t>
  </si>
  <si>
    <t>Only for emission strategies or targets.</t>
  </si>
  <si>
    <t>TheCarbonNeutral Protocol, Technical Specifications Guidance (Table 17, p. 55)</t>
  </si>
  <si>
    <t xml:space="preserve">e.g. For footprint: ISO 14067, GHG Protocol Corporate Standard;for mitigation: SBTi, Race to Zero, CDP; for offsets: ICROA standards. </t>
  </si>
  <si>
    <t>The Climate Neutral Standard | Climate Neutral Certified. (2022). https://www.climateneutral.org/standard-2023</t>
  </si>
  <si>
    <t>Differentiation between Certified and Commited brands</t>
  </si>
  <si>
    <t>e.g. BEE (Brand Emissions Estimator)</t>
  </si>
  <si>
    <t xml:space="preserve">Not specified. To be revised soon, first and only version is from 2021. T&amp;C Policy and Assurance Protocol were revised in 2022. </t>
  </si>
  <si>
    <t xml:space="preserve">Companies can be rated as good or poor performer. </t>
  </si>
  <si>
    <t>Assurance protocol - Climate Neutral Certification Programme vs 1.1 May 2022 (p.28)</t>
  </si>
  <si>
    <t>Climate Neutral Standard - Climate Neutral Certification Program vs 1.0, Sep 2020 (Annex 4, p.34)</t>
  </si>
  <si>
    <t>Companies can start with organization certification but are forced to move to product/service certification.</t>
  </si>
  <si>
    <t>e.g. Reduction Calculation Tool and Self-Assessment tool</t>
  </si>
  <si>
    <t>Assurance protocol - Climate Neutral Certification Programme vs 1.1 May 2022 (p.26)</t>
  </si>
  <si>
    <t>Climate Neutral Standard - Climate Neutral Certification Program vs 1.0, Sep 2020 (p. 16)</t>
  </si>
  <si>
    <t>Small volume client</t>
  </si>
  <si>
    <t>e.g. GHG Protocol</t>
  </si>
  <si>
    <t>Gold, silver and bronze</t>
  </si>
  <si>
    <t xml:space="preserve">Encouraged. See step 2 of the annual report template. </t>
  </si>
  <si>
    <t>No other system is recognized for this purpose</t>
  </si>
  <si>
    <t>UNFCCC. (2021). Climate Neutral Now: Guidelines for Participation. https://unfccc.int/documents/271233</t>
  </si>
  <si>
    <t>Personal communications and UNFCCC. (2021). Climate Neutral Now: Guidelines for Participation. https://unfccc.int/documents/271233</t>
  </si>
  <si>
    <t xml:space="preserve">Updated 2023 and continually revised. </t>
  </si>
  <si>
    <t>Continuous improvement required</t>
  </si>
  <si>
    <t xml:space="preserve">Scheme offers  "ClimatePartner Academy" at not charge. </t>
  </si>
  <si>
    <t>Climate Partner Academy https://www.climatepartner.com/en/academy</t>
  </si>
  <si>
    <t xml:space="preserve">Different service packages are offered corresponding to complexity of the work and the business. </t>
  </si>
  <si>
    <t>ClimatePartner Protocol. (2021). ClimatePartner. Retrieved in 2022, from https://www.climatepartner.com/en/protocol</t>
  </si>
  <si>
    <t>ClimatePartner Protocol. (2021). ClimatePartner. p.33. Retrieved in 2022, from https://www.climatepartner.com/en/protocol</t>
  </si>
  <si>
    <t>ClimatePartner Protocol. (2021). ClimatePartner. p.25. Retrieved in 2022, from https://www.climatepartner.com/en/protocol</t>
  </si>
  <si>
    <t>"…PAS will be reviewed at intervals not exceeding two years…", however, current version is form 2014</t>
  </si>
  <si>
    <t>In order to be verified as meeting the requirements of PAS2060 the organisation must demonstrate a commitment to (first year) and achivement of (subsequent years) carbon neutrality. It is a binary pass / fail, there aren't different levels of achievement</t>
  </si>
  <si>
    <t>Where the entity intends to maintain carbon neutrality for the defined subject going forward, then the entity shall update the carbon footprint management plan at least every 12 months.</t>
  </si>
  <si>
    <t>PAS 2060: 2014 Specification for the demonstration of carbon neutrality (Figure 1, p. 6)</t>
  </si>
  <si>
    <t xml:space="preserve">For carbon footprint, and offsets. </t>
  </si>
  <si>
    <t>PAS 2060: 2014 Specification for the demonstration of carbon neutrality (Table C.2, p. 29)</t>
  </si>
  <si>
    <t>PAS 2060: 2014 Specification for the demonstration of carbon neutrality</t>
  </si>
  <si>
    <t>Yes, through BSI Training Academy</t>
  </si>
  <si>
    <t>https://www.bsigroup.com/en-CA/Our-services/Training-courses/</t>
  </si>
  <si>
    <t xml:space="preserve">For entities and buildings, there are three levels of certification: Carbon Neutral Certification Scopes 1 and 2; Carbon Neutral Certification Operations; Carbon Neutral Certification Operations and Supply Chain. For products, there are two levels of certification: Carbon Neutral Manufacturing Scope; Carbon Neutral Certification Full Life Cycel Scope. For services, there are five levels of certification: Carbon Neutral Transportation Scopes 1 and 2; Carbon Neutral Transportation Scopes 1, 2 and 3; Carbon Neutral Distribution Scopes 1 and 2; Carbon Neutral Distribution Scopes 1, 2 and 3; Carbon Neutral Events. </t>
  </si>
  <si>
    <t>Certification Standard for Carbon Neutral Entities, Buildings, Products and Services SCS-108 Version 1.0 (January 2022) (p.13)</t>
  </si>
  <si>
    <t>GHG management plan: "For the initial certification period, certification for Carbon Neutral can be achieved solely through purchasing carbon offsets. In subsequent years, certification shall include a combination of reductions of direct GHG emissions and purchase of carbon offsets. This shall include a documented GHG Management Plan to manage and reduce GHG emissions of the subject."</t>
  </si>
  <si>
    <t>Continuous improvement requirements annually.</t>
  </si>
  <si>
    <t>SCS, as a global consultancy firm, provides these kind of services.</t>
  </si>
  <si>
    <t>The label awards best practice climate action only.</t>
  </si>
  <si>
    <t>Personal communications.</t>
  </si>
  <si>
    <t>SP only renews the label if emission reductions can be shown in line with the companies reduction pathway.</t>
  </si>
  <si>
    <t>e.g. GHG Protocol and offset standards</t>
  </si>
  <si>
    <t>Governance</t>
  </si>
  <si>
    <t>ACA Annual Report 2019 -2021 (p. 56)</t>
  </si>
  <si>
    <t>ACA Application Manual Issue (p. 1)</t>
  </si>
  <si>
    <t>ACA Annual Reports, https://www.airportcarbonaccreditation.org/aca-media/annual-reports.html</t>
  </si>
  <si>
    <t>ACA Advisory Borad, https://www.airportcarbonaccreditation.org/about/advisory-board.html</t>
  </si>
  <si>
    <t xml:space="preserve">Accredited airports, https://airportco2.org/airports-across-the-world.html </t>
  </si>
  <si>
    <t>Advisory Members. Climate Impact Partners. https://www.carbonneutral.com/who-we-are/advisory-members</t>
  </si>
  <si>
    <t>Two women, four men</t>
  </si>
  <si>
    <t>The Biodiversity Consultancy
Vmware
ERM (Environmental Resources Management)
GHG Management Institute
Forum for the Future
Independent Consultant</t>
  </si>
  <si>
    <t>Advisory Council does not have a role in review the results and claims made by the organisations participating in the program. However, they input on claims through annual re-drafting of the "Communicate" section of the Protocol</t>
  </si>
  <si>
    <t>Examples. Climate Impact Partners. https://www.carbonneutral.com/examples</t>
  </si>
  <si>
    <t>Team Governance. Climate Neutral. https://www.climateneutral.org/team#governance</t>
  </si>
  <si>
    <t>Different interests groups represented in board and advisory committee.</t>
  </si>
  <si>
    <t>Four men, one woman.</t>
  </si>
  <si>
    <t>Development of Standard. Climate Neutral Group. https://www.climateneutralcertification.com/about/development/</t>
  </si>
  <si>
    <t xml:space="preserve">Not publicly available. Since main offices are in the Netherlands and South Africa,  assume most board members are from developed countries. </t>
  </si>
  <si>
    <t>Mostly men</t>
  </si>
  <si>
    <t>TOR Advisoty Committee. Climate Neutral Group. (2020). https://www.climateneutralgroup.com/wp-content/uploads/2020/09/200323_ToR-Advisory-Committee_FINAL-RELEASE_vs1.0.pdf</t>
  </si>
  <si>
    <t>Pesonal communications and in Governance. Climate Neutral Group. https://www.climateneutralcertification.com/about/governance/</t>
  </si>
  <si>
    <t xml:space="preserve">Standard is available in French. </t>
  </si>
  <si>
    <t xml:space="preserve">It can be independent depending on the case.  </t>
  </si>
  <si>
    <t>Personal communications and in Grievance Procedure. Climate Neutral Group (2022). https://www.climateneutralcertification.com/wp-content/uploads/2022/07/200901-CNC-Complaints-Procedure-v1.0.pdf</t>
  </si>
  <si>
    <t xml:space="preserve">Annual Reports. Climate Neutral Group. </t>
  </si>
  <si>
    <t>Only some case studies publicly available. If consumer wants to know more about a particular certified product they need to enter the brand's name to look it up on CNG's website.</t>
  </si>
  <si>
    <t>Climate Neutral Group website.</t>
  </si>
  <si>
    <t>Info not found</t>
  </si>
  <si>
    <t xml:space="preserve">The initiative is run by the secretariat. The secretariat has a policy of respecting regional representation during hiring. </t>
  </si>
  <si>
    <t>The initiative is not multi-stakeholder</t>
  </si>
  <si>
    <t>Does not apply since it is not multi-stakeholder.</t>
  </si>
  <si>
    <t>Our Participants. UNFCCC. https://unfccc.int/climate-action/climate-neutral-now/our-participants</t>
  </si>
  <si>
    <t>ClimatePartner Protcol</t>
  </si>
  <si>
    <t>An extensive stakedholder engagement process was part of the development of the new protocol.</t>
  </si>
  <si>
    <t>Information is hoted on Climate Map. Consumers can also access some products through Amazon Climate Pledge Friendly.</t>
  </si>
  <si>
    <t xml:space="preserve">Every product has a Climate ID tracking page accessible to the public.  </t>
  </si>
  <si>
    <t>See Climate Map</t>
  </si>
  <si>
    <t>BSI Board, https://www.bsigroup.com/en-GB/about-bsi/governance/bsi-board/</t>
  </si>
  <si>
    <t>Four women, five men</t>
  </si>
  <si>
    <t>The following list is particlualry from the steering group for the development of PAS 2060:  
Anthesis Consulting Group (incorporating Best Foot Forward Ltd)
• BP Target Neutral
• Carbon Care Asia Limited
• Carbon Clear Limited
• China Standardization and Technical Consortium for Energy Conservation and Emission Reduction (STCE)
• Climate Friendly Proprietary Limited
• EcoAct
• Forestry Commission
• Foundation of Taiwan Industry Service (FTIS)
• The Gold Standard Foundation
• Inovate
• Institute of Environmental Management and Assessment (IEMA)
• Taiwan Accreditation Forum (TAF)</t>
  </si>
  <si>
    <t xml:space="preserve">The validity of a PAS2060 certificate can be confirmed by entering the certificate number into the BSI website </t>
  </si>
  <si>
    <t>Qualifying explanatory statements (QES) issued by the organisation that has been verified against PAS2060 must be publically available.</t>
  </si>
  <si>
    <t>PAS 2060 and Personal communications</t>
  </si>
  <si>
    <t>BSI website</t>
  </si>
  <si>
    <t>A notice for public comment was issued for the initial standard and will for each update period.</t>
  </si>
  <si>
    <t>Three people</t>
  </si>
  <si>
    <t>Translation feature in every page, although guidelines only in english.</t>
  </si>
  <si>
    <t>Depending on whether this requires a permanent settlement body vs. when needed.</t>
  </si>
  <si>
    <t>Annual Benefit Statement is published, but SCS is a private company.</t>
  </si>
  <si>
    <t>To some extent, there are case studies available online.</t>
  </si>
  <si>
    <t>SCS website. https://www.scsglobalservices.com/services/carbon-neutral-certification</t>
  </si>
  <si>
    <t>Leadership team. South Pole. https://www.southpole.com/about-us/our-leadership-team</t>
  </si>
  <si>
    <t>Two men, five women</t>
  </si>
  <si>
    <t>NGO, Financial Sector, Private sector</t>
  </si>
  <si>
    <t>Proposals were reviewed with stakeholders prior to 2023 changes</t>
  </si>
  <si>
    <t>Sustainability Report. South Pole. (2021). https://www.southpole.com/publications/south-pole-sustainability-report-2021</t>
  </si>
  <si>
    <t xml:space="preserve">A list of clients is available. </t>
  </si>
  <si>
    <t>Clients. South Pole. https://www.southpole.com/clients</t>
  </si>
  <si>
    <t>Climate Neutral Standard - Climate Neutral Certification Program vs 1.0, Sep 2020 (p.20) and Personal communications</t>
  </si>
  <si>
    <t>No site visits</t>
  </si>
  <si>
    <t>Some Scope 3 categories excluded</t>
  </si>
  <si>
    <t>All scopes but companies can justify exclusion of some Scope 3 categories</t>
  </si>
  <si>
    <t>All scopes but not very clear for company certification</t>
  </si>
  <si>
    <t>All scopes, at least for carbon neutral level.</t>
  </si>
  <si>
    <t>Scope 1 and 2, and scope 3 only for gold level</t>
  </si>
  <si>
    <t>Required for all scopes</t>
  </si>
  <si>
    <t>Required for all scopes, except for SMEs</t>
  </si>
  <si>
    <t>Recommends GHG protocol for all scopes</t>
  </si>
  <si>
    <t xml:space="preserve">Required for all scopes </t>
  </si>
  <si>
    <t>Yearly</t>
  </si>
  <si>
    <t>Reviewed by standard with site visits</t>
  </si>
  <si>
    <t>Reviewed by third-party with site visits</t>
  </si>
  <si>
    <t>Reviewed by standard without site visits</t>
  </si>
  <si>
    <t>Reviewed by standard or third party with site visits</t>
  </si>
  <si>
    <t>Reviewed by third party ony if gold level</t>
  </si>
  <si>
    <t>Reviewed by standard with site visits (or virtual)</t>
  </si>
  <si>
    <t>Requires alignment with Paris for all scopes but no mention of SBTi targets</t>
  </si>
  <si>
    <t>Requires alignment with Paris for all scopes and alignment with SBTi</t>
  </si>
  <si>
    <t>Requires alignment with Paris for all scopes and recommends alignment with SBTi</t>
  </si>
  <si>
    <t>Annual reduction targets</t>
  </si>
  <si>
    <t>"GHG Plans should be reviewed periodically to assess progress against planned actions and to assess the feasability of further reductions …" and on Table 22: "GHG Footprint Reduction - Progress against targets and related commentary"</t>
  </si>
  <si>
    <t>No reference to Paris Agreement but they require reductions with respect to baseline</t>
  </si>
  <si>
    <t>No reference to Paris Agreement but they require to show year-over-year reductions (6)</t>
  </si>
  <si>
    <t>Compensate 100% of residual emissions</t>
  </si>
  <si>
    <t>ACA explicitely outlines the elegible type of offset projects. ICROA accredited standards accepts different types of projects.</t>
  </si>
  <si>
    <t xml:space="preserve">The protocol elaborates on the type of offset projects elegible (that avoid, reduce, and remove) and provides examples. </t>
  </si>
  <si>
    <t>CN explicetly outlines the type of projects elegible and it also provides suggesteed portafolio allocation targets. See Table 4 of standard's protocol.</t>
  </si>
  <si>
    <t>Carbon credits must be verified according to one of the following standards: Gold Standard, Verified Carbon Standard, Climate Action Reserve, or American Carbon Registry, which ensure no social and environmental harms.  However CN does not explicitly mentions benefits or endorsemner by ICROA.</t>
  </si>
  <si>
    <t xml:space="preserve">ICROA accredited standards accepts different types of projects. Minus one point because protocol mentions the criteria but does not mention type of projects. </t>
  </si>
  <si>
    <t>Minus one point because protocol mentions the criteria but does not explicitly mention type of projects, so we assume it could be anything. Annex C Table C.2 – Examples of schemes which can provide carbon credits and offsets that meet the principles in 9.1.2</t>
  </si>
  <si>
    <t xml:space="preserve">We assume it can be any type of offset since participants can use "any channel". Minus two points because protocol does not mentions the criteria or type of projects. </t>
  </si>
  <si>
    <t xml:space="preserve">Accredited ICROA standards have AFOLU, renewable energy, waste managament projects, etc. and explicietly mentions the elegible projects. </t>
  </si>
  <si>
    <t>Yes, but complete protocol upon request</t>
  </si>
  <si>
    <t>Does not mention explicitly.</t>
  </si>
  <si>
    <t>Does not mention explicetly but elaborates on third party verification.</t>
  </si>
  <si>
    <t>Not trained or approved by the initiative. Auditors or verifiers must be accredited by an approved accreditation body, such as the International Accreditation Forum (IAF) or an accreditation body recognized by the United Nations Framework Convention on Climate Change (UNFCCC).</t>
  </si>
  <si>
    <t xml:space="preserve">SP does not offer audit training but need to approve reports. Does not specify auditor qualifications. </t>
  </si>
  <si>
    <t>Reasonable auditor qualifications specified and BSI train auditors.</t>
  </si>
  <si>
    <t>Emission scopes included in GHG inventory</t>
  </si>
  <si>
    <t>Proposed methods required for GHG inventory</t>
  </si>
  <si>
    <t>Frequency of GHG inventory</t>
  </si>
  <si>
    <t>Criteria for the ambition of mitigation strategy</t>
  </si>
  <si>
    <t>Verification of results of mitigation strategy</t>
  </si>
  <si>
    <t>Criteria for the ambition of the compensation strategy</t>
  </si>
  <si>
    <t>Criteria for eligibility of offsets</t>
  </si>
  <si>
    <t>Auditor competency and independent oversight mechanisms</t>
  </si>
  <si>
    <t>Compliance with an external assurance code</t>
  </si>
  <si>
    <t>Requirements for continous improvement</t>
  </si>
  <si>
    <t>Incentives for exceeding basic compliance</t>
  </si>
  <si>
    <t>Availability of standard-setting procedures</t>
  </si>
  <si>
    <t>Geographical representation in the board of the standard-setting organization</t>
  </si>
  <si>
    <t>Gender representation in the board of the standard-settiing organization</t>
  </si>
  <si>
    <t>Multi-stakeholder representation in the board of the standard-setting organization</t>
  </si>
  <si>
    <t>Stakeholder consultation in standard-setting</t>
  </si>
  <si>
    <t>Stakeholder evaluation of results and claims made by compliant companies</t>
  </si>
  <si>
    <t>Availability of public complaints procedures</t>
  </si>
  <si>
    <t>Availability of annual reports</t>
  </si>
  <si>
    <t>Availability of information about board membership</t>
  </si>
  <si>
    <t>Availability of list of applicant companies</t>
  </si>
  <si>
    <t>Availability of list of compliant companies</t>
  </si>
  <si>
    <t>Availability of impact reports of compliant companies</t>
  </si>
  <si>
    <t>Criteria for the revision of GHG inventory</t>
  </si>
  <si>
    <t>Standard availability</t>
  </si>
  <si>
    <t>ACI</t>
  </si>
  <si>
    <t>BSI</t>
  </si>
  <si>
    <t>Emission scopes included in GHG inventory (Scopes 1, 2 and 3).</t>
  </si>
  <si>
    <t>Proposed methods required for GHG inventory (Scopes 1, 2, 3).</t>
  </si>
  <si>
    <t>Criteria for the revision of GHG inventory.</t>
  </si>
  <si>
    <t>Criteria for the ambition of mitigation strategy.</t>
  </si>
  <si>
    <t>Verification of results of mitigation strategies.</t>
  </si>
  <si>
    <t>Criteria for the ambition of the compensation strategy (of Scopes 1, 2, 3 residual emissions).</t>
  </si>
  <si>
    <t>Criteria for handling offsets (i.e., in case of reversals, to prevent double counting).</t>
  </si>
  <si>
    <t>Conformity assessment for inventories.</t>
  </si>
  <si>
    <t>Conformity assessment for mitigation.</t>
  </si>
  <si>
    <t>Conformity assessment for compensation.</t>
  </si>
  <si>
    <t>Auditor competency and independent oversight mechanisms.</t>
  </si>
  <si>
    <t>Frequency of verification/certification</t>
  </si>
  <si>
    <t>Revision period of the standard</t>
  </si>
  <si>
    <t>Performance levels</t>
  </si>
  <si>
    <t>Requirements for continuous improvement</t>
  </si>
  <si>
    <t>UNFCCC</t>
  </si>
  <si>
    <t>ClimatePartner Protocol p. 8</t>
  </si>
  <si>
    <t>ClimatePartner Protocol p. 20</t>
  </si>
  <si>
    <t>ClimatePartner Protocol p. 41</t>
  </si>
  <si>
    <t>PAS 2060: 2014 Specification for the demonstration of carbon neutrality (p. 2, 21)</t>
  </si>
  <si>
    <t>PAS 2060: 2014 Specification for the demonstration of carbon neutrality (p. 16)</t>
  </si>
  <si>
    <t>Certification Standard for Carbon Neutral Entities, Buildings, Products and Services
SCS-108 Version 1.0 (January 2022) https://cdn.scsglobalservices.com/files/program_documents/SCS%20Standard_108_FS_v1.0%20%282022%29.pdf</t>
  </si>
  <si>
    <t>Certification Standard for Carbon Neutral Entities, Buildings, Products and Services
SCS-108 Version 1.0 (January 2022) (p.3) https://cdn.scsglobalservices.com/files/program_documents/SCS%20Standard_108_FS_v1.0%20%282022%29.pdf</t>
  </si>
  <si>
    <t>Certification Standard for Carbon Neutral Entities, Buildings, Products and Services
SCS-108 Version 1.0 (January 2022) (p.7) https://cdn.scsglobalservices.com/files/program_documents/SCS%20Standard_108_FS_v1.0%20%282022%29.pdf</t>
  </si>
  <si>
    <t>Certification Standard for Carbon Neutral Entities, Buildings, Products and Services
SCS-108 Version 1.0 (January 2022) (p.8) https://cdn.scsglobalservices.com/files/program_documents/SCS%20Standard_108_FS_v1.0%20%282022%29.pdf</t>
  </si>
  <si>
    <t>Certification Standard for Carbon Neutral Entities, Buildings, Products and Services
SCS-108 Version 1.0 (January 2022) (p.11) https://cdn.scsglobalservices.com/files/program_documents/SCS%20Standard_108_FS_v1.0%20%282022%29.pdf</t>
  </si>
  <si>
    <t>LEGEND</t>
  </si>
  <si>
    <t>Best practice</t>
  </si>
  <si>
    <t>Room for improvement</t>
  </si>
  <si>
    <t>Poor performance</t>
  </si>
  <si>
    <t>Specific considerations for smal and meedium-sized enterprises</t>
  </si>
  <si>
    <t>Multistakeholder representation in the board of the standard-setting organization</t>
  </si>
  <si>
    <t>Stakeholder consultation in standard setting</t>
  </si>
  <si>
    <r>
      <t xml:space="preserve">At least every three years or earlier in the case of changes. </t>
    </r>
    <r>
      <rPr>
        <sz val="10"/>
        <color rgb="FFFF0000"/>
        <rFont val="Arial"/>
        <family val="2"/>
      </rPr>
      <t xml:space="preserve">THE METHODOLGY COULD SUFFICE FOR 3 YEARS, BUT THE INVENTORY NEEDS TO BE RE-CALCULATED EVERY YEAR </t>
    </r>
  </si>
  <si>
    <r>
      <rPr>
        <u/>
        <sz val="10"/>
        <color rgb="FF000000"/>
        <rFont val="Arial"/>
        <family val="2"/>
      </rPr>
      <t xml:space="preserve">South Pole labels Guidance: </t>
    </r>
    <r>
      <rPr>
        <u/>
        <sz val="10"/>
        <color rgb="FF0563C1"/>
        <rFont val="Arial"/>
        <family val="2"/>
      </rPr>
      <t>https://www.southpole.com/sustainability-solutions/climate-neutrality-and-renewable-electricity-labels</t>
    </r>
  </si>
  <si>
    <r>
      <rPr>
        <u/>
        <sz val="10"/>
        <color rgb="FF000000"/>
        <rFont val="Arial"/>
        <family val="2"/>
      </rPr>
      <t xml:space="preserve">South Pole labels Guidance (p.10): </t>
    </r>
    <r>
      <rPr>
        <u/>
        <sz val="10"/>
        <color rgb="FF0563C1"/>
        <rFont val="Arial"/>
        <family val="2"/>
      </rPr>
      <t>https://www.southpole.com/sustainability-solutions/climate-neutrality-and-renewable-electricity-labels</t>
    </r>
  </si>
  <si>
    <r>
      <rPr>
        <u/>
        <sz val="10"/>
        <color rgb="FF000000"/>
        <rFont val="Arial"/>
        <family val="2"/>
      </rPr>
      <t xml:space="preserve">South Pole labels Guidance (p.7): </t>
    </r>
    <r>
      <rPr>
        <u/>
        <sz val="10"/>
        <color rgb="FF0563C1"/>
        <rFont val="Arial"/>
        <family val="2"/>
      </rPr>
      <t>https://www.southpole.com/sustainability-solutions/climate-neutrality-and-renewable-electricity-labels</t>
    </r>
  </si>
  <si>
    <r>
      <rPr>
        <u/>
        <sz val="10"/>
        <color rgb="FF000000"/>
        <rFont val="Arial"/>
        <family val="2"/>
      </rPr>
      <t xml:space="preserve">South Pole labels Guidance (p.8): </t>
    </r>
    <r>
      <rPr>
        <u/>
        <sz val="10"/>
        <color rgb="FF0563C1"/>
        <rFont val="Arial"/>
        <family val="2"/>
      </rPr>
      <t>https://www.southpole.com/sustainability-solutions/climate-neutrality-and-renewable-electricity-labels</t>
    </r>
  </si>
  <si>
    <t>Questionnaire</t>
  </si>
  <si>
    <t>Scorecards</t>
  </si>
  <si>
    <t xml:space="preserve">Scope 1, 2, or 3 emissions source estimated to be more than 1% if the total carbon footprint shall be taken into consideration unless evidence can be provided to demonstrate that such quantification would not be technically feasible or cost effective. </t>
  </si>
  <si>
    <t>CARE Results</t>
  </si>
  <si>
    <t xml:space="preserve">This analysis and scorecards have been conducted with the support of World Energy </t>
  </si>
  <si>
    <t xml:space="preserve">Total value </t>
  </si>
  <si>
    <t>Total Value</t>
  </si>
  <si>
    <r>
      <t xml:space="preserve">This document serves as supplementary material for the main report IISD’s SSI Thematic Review - Standards and Carbon Neutrality: An initial review with the CARE methodology.
This spreadsheet contains the data collected from nine voluntary carbon neutrality standards and initiatives (VCNSIs). The data has been coded based on the CARE methodology developed by the State of Sustainability Initiatives team at the International Institute for Sustainable Development (IISD). The CARE methodology examines aspects related to Coverage, Assurance, Responsiveness, and Engagement to assess key elements of the design, operation, and governance of voluntary certification standards promoting different sustainable initiatives. We sought to identify best practices among VCNSIs by benchmarking and analyzing their potential to contribute to ambitious climate action. 
The spreadsheet is organized into four tabs: 
- </t>
    </r>
    <r>
      <rPr>
        <b/>
        <sz val="11"/>
        <color theme="1"/>
        <rFont val="Calibri"/>
        <family val="2"/>
        <scheme val="minor"/>
      </rPr>
      <t>READ ME:</t>
    </r>
    <r>
      <rPr>
        <sz val="11"/>
        <color theme="1"/>
        <rFont val="Calibri"/>
        <family val="2"/>
        <scheme val="minor"/>
      </rPr>
      <t xml:space="preserve"> Provides a description of the Excel file.
- </t>
    </r>
    <r>
      <rPr>
        <b/>
        <sz val="11"/>
        <color theme="1"/>
        <rFont val="Calibri"/>
        <family val="2"/>
        <scheme val="minor"/>
      </rPr>
      <t>Questionnaire:</t>
    </r>
    <r>
      <rPr>
        <sz val="11"/>
        <color theme="1"/>
        <rFont val="Calibri"/>
        <family val="2"/>
        <scheme val="minor"/>
      </rPr>
      <t xml:space="preserve"> We used this questionnaire to collect data on the indicators and their elements. The indicators are organized in the four CARE dimensions: Coverage in blue; Assurance in green; Responsivness in orange; and Engagement in purple. 
- </t>
    </r>
    <r>
      <rPr>
        <b/>
        <sz val="11"/>
        <color theme="1"/>
        <rFont val="Calibri"/>
        <family val="2"/>
        <scheme val="minor"/>
      </rPr>
      <t>Scorecards</t>
    </r>
    <r>
      <rPr>
        <sz val="11"/>
        <color theme="1"/>
        <rFont val="Calibri"/>
        <family val="2"/>
        <scheme val="minor"/>
      </rPr>
      <t xml:space="preserve">: Illustrates the data collected for each VCNSI and the score allocated for each indicator and their elements. The nine VCNSI were developed by different organizations: PAS 2060 by the British Standards Institution (BSI); Carbon Neutral Standard by Climate Impact Partners (CIP); Climate Neutral Now by the United Nations (UNFCC); Climate Neutral by South Pole (SP); Carbon Neutral Standard by Scientific Certification Systems Global Services (SCS); Climate Neutral Certification by Climate Neutral Group (CNG); Climate Neutral by ClimatePartner (CP); Climate Neutral Certified by Climate Neutral (CN); Airport Carbon Accreditation by Airports Council International Europe (ACI).
- </t>
    </r>
    <r>
      <rPr>
        <b/>
        <sz val="11"/>
        <color theme="1"/>
        <rFont val="Calibri"/>
        <family val="2"/>
        <scheme val="minor"/>
      </rPr>
      <t xml:space="preserve">CARE Results: </t>
    </r>
    <r>
      <rPr>
        <sz val="11"/>
        <color theme="1"/>
        <rFont val="Calibri"/>
        <family val="2"/>
        <scheme val="minor"/>
      </rPr>
      <t>Illustrates the aggregated score for each indicator considering their elements for each VCNSI
For any questions, please contact:
Erika Luna
Junior Policy Analyst
eluna@iisd.ca
Citation: Balderas, A., Luna, E., &amp; Voora, V. (2024, January). Standards and
carbon neutrality: An initial review with the CARE methodology (Thematic
review). International Institute for Sustainable Development. https://
www.iisd.org/system/files/2024-01/ssi-review-standards-carbonneutrality.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</si>
</sst>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sz val="11"/>
      <color theme="1"/>
      <name val="Arial"/>
      <family val="2"/>
    </font>
    <font>
      <sz val="11"/>
      <name val="Arial"/>
      <family val="2"/>
    </font>
    <font>
      <b/>
      <sz val="10"/>
      <color theme="1"/>
      <name val="Arial"/>
      <family val="2"/>
    </font>
    <font>
      <sz val="10"/>
      <color theme="1"/>
      <name val="Arial"/>
      <family val="2"/>
    </font>
    <font>
      <u/>
      <sz val="10"/>
      <color theme="10"/>
      <name val="Arial"/>
      <family val="2"/>
    </font>
    <font>
      <sz val="10"/>
      <name val="Arial"/>
      <family val="2"/>
    </font>
    <font>
      <b/>
      <sz val="10"/>
      <name val="Arial"/>
      <family val="2"/>
    </font>
    <font>
      <b/>
      <sz val="10"/>
      <color rgb="FF000000"/>
      <name val="Arial"/>
      <family val="2"/>
    </font>
    <font>
      <sz val="10"/>
      <color rgb="FF000000"/>
      <name val="Arial"/>
      <family val="2"/>
    </font>
    <font>
      <sz val="10"/>
      <color rgb="FFFF0000"/>
      <name val="Arial"/>
      <family val="2"/>
    </font>
    <font>
      <u/>
      <sz val="10"/>
      <color rgb="FF0563C1"/>
      <name val="Arial"/>
      <family val="2"/>
    </font>
    <font>
      <u/>
      <sz val="10"/>
      <color rgb="FF000000"/>
      <name val="Arial"/>
      <family val="2"/>
    </font>
    <font>
      <b/>
      <sz val="14"/>
      <color theme="0"/>
      <name val="Arial"/>
      <family val="2"/>
    </font>
    <font>
      <b/>
      <sz val="11"/>
      <color theme="0"/>
      <name val="Arial"/>
      <family val="2"/>
    </font>
    <font>
      <b/>
      <sz val="10"/>
      <color theme="0"/>
      <name val="Arial"/>
      <family val="2"/>
    </font>
    <font>
      <sz val="11"/>
      <color theme="0"/>
      <name val="Arial"/>
      <family val="2"/>
    </font>
    <font>
      <sz val="11"/>
      <color rgb="FF000000"/>
      <name val="Arial"/>
      <family val="2"/>
    </font>
    <font>
      <b/>
      <sz val="11"/>
      <color rgb="FF000000"/>
      <name val="Arial"/>
      <family val="2"/>
    </font>
    <font>
      <b/>
      <sz val="11"/>
      <color rgb="FF454545"/>
      <name val="Arial"/>
      <family val="2"/>
    </font>
    <font>
      <b/>
      <sz val="11"/>
      <name val="Arial"/>
      <family val="2"/>
    </font>
    <font>
      <sz val="8"/>
      <color theme="1"/>
      <name val="Arial"/>
      <family val="2"/>
    </font>
  </fonts>
  <fills count="18">
    <fill>
      <patternFill patternType="none"/>
    </fill>
    <fill>
      <patternFill patternType="gray125"/>
    </fill>
    <fill>
      <patternFill patternType="solid">
        <fgColor rgb="FF083266"/>
        <bgColor indexed="64"/>
      </patternFill>
    </fill>
    <fill>
      <patternFill patternType="solid">
        <fgColor rgb="FF5ABC89"/>
        <bgColor indexed="64"/>
      </patternFill>
    </fill>
    <fill>
      <patternFill patternType="solid">
        <fgColor theme="0"/>
        <bgColor indexed="64"/>
      </patternFill>
    </fill>
    <fill>
      <patternFill patternType="solid">
        <fgColor theme="0"/>
        <bgColor rgb="FFC5E0B3"/>
      </patternFill>
    </fill>
    <fill>
      <patternFill patternType="solid">
        <fgColor theme="0"/>
        <bgColor rgb="FFBDD6EE"/>
      </patternFill>
    </fill>
    <fill>
      <patternFill patternType="solid">
        <fgColor theme="0"/>
        <bgColor rgb="FFFFFF00"/>
      </patternFill>
    </fill>
    <fill>
      <patternFill patternType="solid">
        <fgColor theme="0"/>
        <bgColor rgb="FFFFE598"/>
      </patternFill>
    </fill>
    <fill>
      <patternFill patternType="solid">
        <fgColor theme="0"/>
        <bgColor rgb="FFF7CAAC"/>
      </patternFill>
    </fill>
    <fill>
      <patternFill patternType="solid">
        <fgColor rgb="FF29C3EC"/>
        <bgColor indexed="64"/>
      </patternFill>
    </fill>
    <fill>
      <patternFill patternType="solid">
        <fgColor rgb="FFCAEBF8"/>
        <bgColor indexed="64"/>
      </patternFill>
    </fill>
    <fill>
      <patternFill patternType="solid">
        <fgColor rgb="FFCEE7D6"/>
        <bgColor indexed="64"/>
      </patternFill>
    </fill>
    <fill>
      <patternFill patternType="solid">
        <fgColor rgb="FFFBE3BE"/>
        <bgColor indexed="64"/>
      </patternFill>
    </fill>
    <fill>
      <patternFill patternType="solid">
        <fgColor rgb="FFF1B138"/>
        <bgColor indexed="64"/>
      </patternFill>
    </fill>
    <fill>
      <patternFill patternType="solid">
        <fgColor rgb="FFDBC2DE"/>
        <bgColor indexed="64"/>
      </patternFill>
    </fill>
    <fill>
      <patternFill patternType="solid">
        <fgColor rgb="FF992B91"/>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style="thin">
        <color indexed="64"/>
      </right>
      <top style="thin">
        <color indexed="64"/>
      </top>
      <bottom style="medium">
        <color theme="1"/>
      </bottom>
      <diagonal/>
    </border>
    <border>
      <left/>
      <right style="thin">
        <color indexed="64"/>
      </right>
      <top style="thin">
        <color indexed="64"/>
      </top>
      <bottom style="medium">
        <color theme="1"/>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theme="1"/>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theme="1"/>
      </bottom>
      <diagonal/>
    </border>
    <border>
      <left style="thin">
        <color indexed="64"/>
      </left>
      <right/>
      <top style="thin">
        <color indexed="64"/>
      </top>
      <bottom style="thick">
        <color theme="1"/>
      </bottom>
      <diagonal/>
    </border>
    <border>
      <left/>
      <right style="thin">
        <color indexed="64"/>
      </right>
      <top style="thin">
        <color indexed="64"/>
      </top>
      <bottom style="thick">
        <color theme="1"/>
      </bottom>
      <diagonal/>
    </border>
    <border>
      <left style="thin">
        <color indexed="64"/>
      </left>
      <right/>
      <top style="thin">
        <color indexed="64"/>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s>
  <cellStyleXfs count="3">
    <xf numFmtId="0" fontId="0" fillId="0" borderId="0"/>
    <xf numFmtId="9" fontId="2" fillId="0" borderId="0" applyFont="0" applyFill="0" applyBorder="0" applyAlignment="0" applyProtection="0"/>
    <xf numFmtId="0" fontId="3" fillId="0" borderId="0" applyNumberFormat="0" applyFill="0" applyBorder="0" applyAlignment="0" applyProtection="0"/>
  </cellStyleXfs>
  <cellXfs count="182">
    <xf numFmtId="0" fontId="0" fillId="0" borderId="0" xfId="0"/>
    <xf numFmtId="0" fontId="0" fillId="0" borderId="6" xfId="0" applyBorder="1"/>
    <xf numFmtId="0" fontId="0" fillId="0" borderId="6" xfId="0" applyBorder="1" applyAlignment="1">
      <alignment wrapText="1"/>
    </xf>
    <xf numFmtId="0" fontId="5" fillId="4" borderId="7" xfId="0" applyFont="1" applyFill="1" applyBorder="1" applyAlignment="1">
      <alignment horizontal="left" vertical="center" wrapText="1" indent="1"/>
    </xf>
    <xf numFmtId="49" fontId="5" fillId="4" borderId="1" xfId="0" applyNumberFormat="1"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4" borderId="0" xfId="0" applyFont="1" applyFill="1" applyAlignment="1">
      <alignment wrapText="1"/>
    </xf>
    <xf numFmtId="0" fontId="5" fillId="4" borderId="0" xfId="0" applyFont="1" applyFill="1" applyAlignment="1">
      <alignment horizontal="left" wrapText="1"/>
    </xf>
    <xf numFmtId="0" fontId="4" fillId="4" borderId="0" xfId="0" applyFont="1" applyFill="1" applyAlignment="1">
      <alignment wrapText="1"/>
    </xf>
    <xf numFmtId="0" fontId="18" fillId="2" borderId="1" xfId="0" applyFont="1" applyFill="1" applyBorder="1" applyAlignment="1">
      <alignment horizontal="left" vertical="center" wrapText="1" indent="1"/>
    </xf>
    <xf numFmtId="0" fontId="4" fillId="4" borderId="0" xfId="0" applyFont="1" applyFill="1" applyAlignment="1">
      <alignment vertical="top" wrapText="1"/>
    </xf>
    <xf numFmtId="0" fontId="5" fillId="4" borderId="0" xfId="0" applyFont="1" applyFill="1" applyAlignment="1">
      <alignment vertical="top" wrapText="1"/>
    </xf>
    <xf numFmtId="0" fontId="6" fillId="4" borderId="0" xfId="0" applyFont="1" applyFill="1" applyAlignment="1">
      <alignment vertical="top" wrapText="1"/>
    </xf>
    <xf numFmtId="0" fontId="5" fillId="4" borderId="0" xfId="0" applyFont="1" applyFill="1" applyAlignment="1">
      <alignment horizontal="center" vertical="top" wrapText="1"/>
    </xf>
    <xf numFmtId="0" fontId="5" fillId="3" borderId="0" xfId="0" applyFont="1" applyFill="1" applyAlignment="1">
      <alignment vertical="top" wrapText="1"/>
    </xf>
    <xf numFmtId="0" fontId="4" fillId="3" borderId="0" xfId="0" applyFont="1" applyFill="1" applyAlignment="1">
      <alignment vertical="top" wrapText="1"/>
    </xf>
    <xf numFmtId="0" fontId="19" fillId="2" borderId="1" xfId="0"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49" fontId="8" fillId="4" borderId="1" xfId="0" applyNumberFormat="1"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9" fillId="4" borderId="1" xfId="2" applyFont="1" applyFill="1" applyBorder="1" applyAlignment="1">
      <alignment horizontal="left" vertical="center" wrapText="1" indent="1"/>
    </xf>
    <xf numFmtId="0" fontId="10" fillId="4" borderId="1" xfId="2" applyFont="1" applyFill="1" applyBorder="1" applyAlignment="1">
      <alignment horizontal="left" vertical="center" wrapText="1" indent="1"/>
    </xf>
    <xf numFmtId="0" fontId="7" fillId="5"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12" fillId="5" borderId="1" xfId="0" applyFont="1" applyFill="1" applyBorder="1" applyAlignment="1">
      <alignment horizontal="left" vertical="center" wrapText="1" indent="1"/>
    </xf>
    <xf numFmtId="0" fontId="13" fillId="5" borderId="1" xfId="0" applyFont="1" applyFill="1" applyBorder="1" applyAlignment="1">
      <alignment horizontal="left" vertical="center" wrapText="1" indent="1"/>
    </xf>
    <xf numFmtId="2" fontId="8" fillId="4" borderId="1" xfId="0" applyNumberFormat="1"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9" fillId="6" borderId="1" xfId="2"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14" fillId="4" borderId="1"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7" fillId="4" borderId="1" xfId="1" applyNumberFormat="1" applyFont="1" applyFill="1" applyBorder="1" applyAlignment="1">
      <alignment horizontal="left" vertical="center" wrapText="1" indent="1"/>
    </xf>
    <xf numFmtId="0" fontId="8" fillId="4" borderId="1" xfId="2" applyFont="1" applyFill="1" applyBorder="1" applyAlignment="1">
      <alignment horizontal="left" vertical="center" wrapText="1" indent="1"/>
    </xf>
    <xf numFmtId="9" fontId="8" fillId="4" borderId="1" xfId="0" applyNumberFormat="1" applyFont="1" applyFill="1" applyBorder="1" applyAlignment="1">
      <alignment horizontal="left" vertical="center" wrapText="1" indent="1"/>
    </xf>
    <xf numFmtId="0" fontId="12" fillId="6" borderId="1"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5" fillId="4" borderId="3" xfId="0" applyFont="1" applyFill="1" applyBorder="1" applyAlignment="1">
      <alignment horizontal="left" vertical="center" wrapText="1" indent="1"/>
    </xf>
    <xf numFmtId="49" fontId="5" fillId="4" borderId="3" xfId="0" applyNumberFormat="1"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49" fontId="5" fillId="4" borderId="10" xfId="0" applyNumberFormat="1"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49" fontId="8" fillId="4" borderId="3"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10" fillId="4" borderId="3" xfId="2" applyFont="1" applyFill="1" applyBorder="1" applyAlignment="1">
      <alignment horizontal="left" vertical="center" wrapText="1" indent="1"/>
    </xf>
    <xf numFmtId="0" fontId="8" fillId="4" borderId="12" xfId="0" applyFont="1" applyFill="1" applyBorder="1" applyAlignment="1">
      <alignment horizontal="left" vertical="center" wrapText="1" indent="1"/>
    </xf>
    <xf numFmtId="49" fontId="8" fillId="4" borderId="12" xfId="0" applyNumberFormat="1" applyFont="1" applyFill="1" applyBorder="1" applyAlignment="1">
      <alignment horizontal="left" vertical="center" wrapText="1" indent="1"/>
    </xf>
    <xf numFmtId="0" fontId="7" fillId="4" borderId="12"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8" fillId="4" borderId="13" xfId="0" applyFont="1" applyFill="1" applyBorder="1" applyAlignment="1">
      <alignment horizontal="left" vertical="center" wrapText="1" indent="1"/>
    </xf>
    <xf numFmtId="0" fontId="8" fillId="4" borderId="14"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3" borderId="5" xfId="0" applyFont="1" applyFill="1" applyBorder="1" applyAlignment="1">
      <alignment horizontal="left" vertical="center" wrapText="1" indent="1"/>
    </xf>
    <xf numFmtId="0" fontId="8" fillId="14" borderId="5" xfId="0" applyFont="1" applyFill="1" applyBorder="1" applyAlignment="1">
      <alignment horizontal="left" vertical="center" wrapText="1" indent="1"/>
    </xf>
    <xf numFmtId="0" fontId="8" fillId="16" borderId="5" xfId="0" applyFont="1" applyFill="1" applyBorder="1" applyAlignment="1">
      <alignment horizontal="left" vertical="center" wrapText="1" indent="1"/>
    </xf>
    <xf numFmtId="0" fontId="8" fillId="16" borderId="17" xfId="0" applyFont="1" applyFill="1" applyBorder="1" applyAlignment="1">
      <alignment horizontal="left" vertical="center" wrapText="1" indent="1"/>
    </xf>
    <xf numFmtId="0" fontId="8" fillId="10" borderId="16" xfId="0"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9" fillId="6" borderId="3" xfId="0" applyFont="1" applyFill="1" applyBorder="1" applyAlignment="1">
      <alignment horizontal="left" vertical="center" wrapText="1" indent="1"/>
    </xf>
    <xf numFmtId="0" fontId="7" fillId="4" borderId="18" xfId="0" applyFont="1" applyFill="1" applyBorder="1" applyAlignment="1">
      <alignment horizontal="left" vertical="center" wrapText="1" indent="1"/>
    </xf>
    <xf numFmtId="0" fontId="8" fillId="16" borderId="19"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8" fillId="4" borderId="18" xfId="0" applyNumberFormat="1" applyFont="1" applyFill="1" applyBorder="1" applyAlignment="1">
      <alignment horizontal="left" vertical="center" wrapText="1" indent="1"/>
    </xf>
    <xf numFmtId="0" fontId="8" fillId="4" borderId="18" xfId="0" applyFont="1" applyFill="1" applyBorder="1" applyAlignment="1">
      <alignment horizontal="left" vertical="center" wrapText="1" indent="1"/>
    </xf>
    <xf numFmtId="0" fontId="8" fillId="9" borderId="18" xfId="0" applyFont="1" applyFill="1" applyBorder="1" applyAlignment="1">
      <alignment horizontal="left" vertical="center" wrapText="1" indent="1"/>
    </xf>
    <xf numFmtId="0" fontId="7" fillId="4" borderId="21" xfId="0" applyFont="1" applyFill="1" applyBorder="1" applyAlignment="1">
      <alignment horizontal="left" vertical="center" wrapText="1" indent="1"/>
    </xf>
    <xf numFmtId="0" fontId="8" fillId="16" borderId="22" xfId="0" applyFont="1" applyFill="1" applyBorder="1" applyAlignment="1">
      <alignment horizontal="left" vertical="center" wrapText="1" indent="1"/>
    </xf>
    <xf numFmtId="0" fontId="8" fillId="4" borderId="23" xfId="0" applyFont="1" applyFill="1" applyBorder="1" applyAlignment="1">
      <alignment horizontal="left" vertical="center" wrapText="1" indent="1"/>
    </xf>
    <xf numFmtId="49" fontId="8" fillId="4" borderId="21" xfId="0" applyNumberFormat="1" applyFont="1" applyFill="1" applyBorder="1" applyAlignment="1">
      <alignment horizontal="left" vertical="center" wrapText="1" indent="1"/>
    </xf>
    <xf numFmtId="0" fontId="8" fillId="4" borderId="21" xfId="0" applyFont="1" applyFill="1" applyBorder="1" applyAlignment="1">
      <alignment horizontal="left" vertical="center" wrapText="1" indent="1"/>
    </xf>
    <xf numFmtId="9" fontId="8" fillId="4" borderId="3" xfId="0" applyNumberFormat="1"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3" fillId="6" borderId="3" xfId="0" applyFont="1" applyFill="1" applyBorder="1" applyAlignment="1">
      <alignment horizontal="left" vertical="center" wrapText="1" indent="1"/>
    </xf>
    <xf numFmtId="0" fontId="15" fillId="6" borderId="3" xfId="0" applyFont="1" applyFill="1" applyBorder="1" applyAlignment="1">
      <alignment horizontal="left" vertical="center" wrapText="1" indent="1"/>
    </xf>
    <xf numFmtId="0" fontId="5" fillId="4" borderId="9" xfId="0" applyFont="1" applyFill="1" applyBorder="1" applyAlignment="1">
      <alignment horizontal="left" vertical="center" wrapText="1" indent="1"/>
    </xf>
    <xf numFmtId="0" fontId="5" fillId="10" borderId="24" xfId="0" applyFont="1" applyFill="1" applyBorder="1" applyAlignment="1">
      <alignment wrapText="1"/>
    </xf>
    <xf numFmtId="0" fontId="5" fillId="10" borderId="25" xfId="0" applyFont="1" applyFill="1" applyBorder="1" applyAlignment="1">
      <alignment wrapText="1"/>
    </xf>
    <xf numFmtId="0" fontId="5" fillId="10" borderId="26" xfId="0" applyFont="1" applyFill="1" applyBorder="1" applyAlignment="1">
      <alignment wrapText="1"/>
    </xf>
    <xf numFmtId="0" fontId="5" fillId="4" borderId="14" xfId="0" applyFont="1" applyFill="1" applyBorder="1" applyAlignment="1">
      <alignment horizontal="left" vertical="center" wrapText="1" indent="1"/>
    </xf>
    <xf numFmtId="0" fontId="5" fillId="3" borderId="5" xfId="0" applyFont="1" applyFill="1" applyBorder="1" applyAlignment="1">
      <alignment wrapText="1"/>
    </xf>
    <xf numFmtId="0" fontId="5" fillId="14" borderId="5" xfId="0" applyFont="1" applyFill="1" applyBorder="1" applyAlignment="1">
      <alignment wrapText="1"/>
    </xf>
    <xf numFmtId="0" fontId="5" fillId="16" borderId="5" xfId="0" applyFont="1" applyFill="1" applyBorder="1" applyAlignment="1">
      <alignment wrapText="1"/>
    </xf>
    <xf numFmtId="0" fontId="5" fillId="4" borderId="0" xfId="0" applyFont="1" applyFill="1" applyAlignment="1">
      <alignment vertical="center" wrapText="1"/>
    </xf>
    <xf numFmtId="0" fontId="4" fillId="4" borderId="0" xfId="0" applyFont="1" applyFill="1" applyAlignment="1">
      <alignment vertical="center" wrapText="1"/>
    </xf>
    <xf numFmtId="10" fontId="5" fillId="4" borderId="0" xfId="0" applyNumberFormat="1" applyFont="1" applyFill="1" applyAlignment="1">
      <alignment vertical="center" wrapText="1"/>
    </xf>
    <xf numFmtId="0" fontId="18" fillId="2" borderId="1" xfId="0" applyFont="1" applyFill="1" applyBorder="1" applyAlignment="1">
      <alignment horizontal="center" vertical="center" textRotation="90" wrapText="1" readingOrder="1"/>
    </xf>
    <xf numFmtId="0" fontId="18" fillId="2" borderId="1" xfId="0" applyFont="1" applyFill="1" applyBorder="1" applyAlignment="1">
      <alignment horizontal="center" vertical="center" textRotation="90" wrapText="1"/>
    </xf>
    <xf numFmtId="0" fontId="18" fillId="2" borderId="1" xfId="0" applyFont="1" applyFill="1" applyBorder="1" applyAlignment="1">
      <alignment horizontal="left" vertical="center" wrapText="1" indent="1" readingOrder="1"/>
    </xf>
    <xf numFmtId="2" fontId="5" fillId="4" borderId="1" xfId="0" applyNumberFormat="1"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20" fillId="4" borderId="4" xfId="0" applyFont="1" applyFill="1" applyBorder="1" applyAlignment="1">
      <alignment horizontal="left" vertical="center" wrapText="1" indent="1"/>
    </xf>
    <xf numFmtId="0" fontId="20" fillId="4" borderId="14" xfId="0" applyFont="1" applyFill="1" applyBorder="1" applyAlignment="1">
      <alignment horizontal="left" vertical="center" wrapText="1" indent="1"/>
    </xf>
    <xf numFmtId="0" fontId="18" fillId="4" borderId="2" xfId="0" applyFont="1" applyFill="1" applyBorder="1" applyAlignment="1">
      <alignment horizontal="center" vertical="center" wrapText="1"/>
    </xf>
    <xf numFmtId="9" fontId="5" fillId="4" borderId="1" xfId="0" applyNumberFormat="1" applyFont="1" applyFill="1" applyBorder="1" applyAlignment="1">
      <alignment horizontal="right" vertical="center" wrapText="1" indent="1"/>
    </xf>
    <xf numFmtId="0" fontId="5" fillId="4" borderId="8" xfId="0" applyFont="1" applyFill="1" applyBorder="1" applyAlignment="1">
      <alignment horizontal="right" vertical="center" wrapText="1" indent="1"/>
    </xf>
    <xf numFmtId="9" fontId="5" fillId="4" borderId="1" xfId="1" applyFont="1" applyFill="1" applyBorder="1" applyAlignment="1">
      <alignment horizontal="right" vertical="center" wrapText="1" indent="1"/>
    </xf>
    <xf numFmtId="9" fontId="5" fillId="4" borderId="8" xfId="1" applyFont="1" applyFill="1" applyBorder="1" applyAlignment="1">
      <alignment horizontal="right" vertical="center" wrapText="1" indent="1"/>
    </xf>
    <xf numFmtId="0" fontId="18" fillId="4" borderId="2" xfId="0" applyFont="1" applyFill="1" applyBorder="1" applyAlignment="1">
      <alignment horizontal="center" vertical="center" textRotation="90" wrapText="1"/>
    </xf>
    <xf numFmtId="9" fontId="5" fillId="4" borderId="2" xfId="0" applyNumberFormat="1" applyFont="1" applyFill="1" applyBorder="1" applyAlignment="1">
      <alignment horizontal="right" vertical="center" wrapText="1" indent="1"/>
    </xf>
    <xf numFmtId="0" fontId="5" fillId="4" borderId="0" xfId="0" applyFont="1" applyFill="1" applyAlignment="1">
      <alignment horizontal="right" vertical="center" wrapText="1" indent="1"/>
    </xf>
    <xf numFmtId="10" fontId="5" fillId="4" borderId="2" xfId="0" applyNumberFormat="1" applyFont="1" applyFill="1" applyBorder="1" applyAlignment="1">
      <alignment horizontal="right" vertical="center" wrapText="1" indent="1"/>
    </xf>
    <xf numFmtId="9" fontId="5" fillId="12" borderId="1" xfId="1" applyFont="1" applyFill="1" applyBorder="1" applyAlignment="1">
      <alignment horizontal="right" vertical="center" wrapText="1" indent="1"/>
    </xf>
    <xf numFmtId="9" fontId="5" fillId="13" borderId="1" xfId="1" applyFont="1" applyFill="1" applyBorder="1" applyAlignment="1">
      <alignment horizontal="right" vertical="center" wrapText="1" indent="1"/>
    </xf>
    <xf numFmtId="10" fontId="4" fillId="4" borderId="2" xfId="0" applyNumberFormat="1" applyFont="1" applyFill="1" applyBorder="1" applyAlignment="1">
      <alignment horizontal="right" vertical="center" wrapText="1" indent="1"/>
    </xf>
    <xf numFmtId="9" fontId="4" fillId="4" borderId="1" xfId="1" applyFont="1" applyFill="1" applyBorder="1" applyAlignment="1">
      <alignment horizontal="right" vertical="center" wrapText="1" indent="1"/>
    </xf>
    <xf numFmtId="9" fontId="4" fillId="4" borderId="2" xfId="0" applyNumberFormat="1" applyFont="1" applyFill="1" applyBorder="1" applyAlignment="1">
      <alignment horizontal="right" vertical="center" wrapText="1" indent="1"/>
    </xf>
    <xf numFmtId="0" fontId="21" fillId="0" borderId="1" xfId="0" applyFont="1" applyBorder="1" applyAlignment="1">
      <alignment horizontal="left" vertical="center" wrapText="1" indent="1" readingOrder="1"/>
    </xf>
    <xf numFmtId="0" fontId="5" fillId="0" borderId="1" xfId="0" applyFont="1" applyBorder="1" applyAlignment="1">
      <alignment horizontal="right" vertical="center" wrapText="1" indent="1"/>
    </xf>
    <xf numFmtId="2" fontId="5" fillId="0" borderId="1" xfId="0" applyNumberFormat="1" applyFont="1" applyBorder="1" applyAlignment="1">
      <alignment horizontal="right" vertical="center" wrapText="1" indent="1"/>
    </xf>
    <xf numFmtId="9" fontId="5" fillId="0" borderId="1" xfId="1" applyFont="1" applyFill="1" applyBorder="1" applyAlignment="1">
      <alignment horizontal="right" vertical="center" wrapText="1" indent="1"/>
    </xf>
    <xf numFmtId="0" fontId="6" fillId="0" borderId="1" xfId="0" applyFont="1" applyBorder="1" applyAlignment="1">
      <alignment horizontal="left" vertical="center" wrapText="1" indent="1" readingOrder="1"/>
    </xf>
    <xf numFmtId="0" fontId="22" fillId="0" borderId="1" xfId="0" applyFont="1" applyBorder="1" applyAlignment="1">
      <alignment horizontal="left" vertical="center" wrapText="1" indent="1" readingOrder="1"/>
    </xf>
    <xf numFmtId="9" fontId="4" fillId="0" borderId="1" xfId="0" applyNumberFormat="1" applyFont="1" applyBorder="1" applyAlignment="1">
      <alignment horizontal="left" vertical="center" wrapText="1" indent="1"/>
    </xf>
    <xf numFmtId="0" fontId="24" fillId="0" borderId="1" xfId="0" applyFont="1" applyBorder="1" applyAlignment="1">
      <alignment horizontal="right" vertical="center" wrapText="1" indent="1"/>
    </xf>
    <xf numFmtId="2" fontId="4" fillId="0" borderId="1" xfId="0" applyNumberFormat="1" applyFont="1" applyBorder="1" applyAlignment="1">
      <alignment horizontal="right" vertical="center" wrapText="1" indent="1"/>
    </xf>
    <xf numFmtId="0" fontId="4" fillId="0" borderId="1" xfId="0" applyFont="1" applyBorder="1" applyAlignment="1">
      <alignment horizontal="right" vertical="center" wrapText="1" indent="1"/>
    </xf>
    <xf numFmtId="9" fontId="4" fillId="0" borderId="1" xfId="0" applyNumberFormat="1" applyFont="1" applyBorder="1" applyAlignment="1">
      <alignment horizontal="right" vertical="center" wrapText="1" indent="1"/>
    </xf>
    <xf numFmtId="9" fontId="4" fillId="0" borderId="1" xfId="1" applyFont="1" applyFill="1" applyBorder="1" applyAlignment="1">
      <alignment horizontal="right" vertical="center" wrapText="1" indent="1"/>
    </xf>
    <xf numFmtId="0" fontId="6" fillId="0" borderId="1" xfId="0" applyFont="1" applyBorder="1" applyAlignment="1">
      <alignment horizontal="left" vertical="center" wrapText="1" indent="1"/>
    </xf>
    <xf numFmtId="164" fontId="5" fillId="0" borderId="1" xfId="0" applyNumberFormat="1" applyFont="1" applyBorder="1" applyAlignment="1">
      <alignment horizontal="right" vertical="center" wrapText="1" indent="1"/>
    </xf>
    <xf numFmtId="0" fontId="4" fillId="0" borderId="1" xfId="0" applyFont="1" applyBorder="1" applyAlignment="1">
      <alignment horizontal="left" vertical="center" wrapText="1" indent="1"/>
    </xf>
    <xf numFmtId="0" fontId="23" fillId="0" borderId="1" xfId="0" applyFont="1" applyBorder="1" applyAlignment="1">
      <alignment horizontal="right" vertical="center" wrapText="1" indent="1"/>
    </xf>
    <xf numFmtId="164" fontId="4" fillId="0" borderId="1" xfId="0" applyNumberFormat="1" applyFont="1" applyBorder="1" applyAlignment="1">
      <alignment horizontal="right" vertical="center" wrapText="1" indent="1"/>
    </xf>
    <xf numFmtId="10" fontId="4" fillId="0" borderId="1" xfId="0" applyNumberFormat="1" applyFont="1" applyBorder="1" applyAlignment="1">
      <alignment horizontal="right" vertical="center" wrapText="1" indent="1"/>
    </xf>
    <xf numFmtId="10" fontId="4" fillId="0" borderId="2" xfId="0" applyNumberFormat="1" applyFont="1" applyBorder="1" applyAlignment="1">
      <alignment horizontal="right" vertical="center" wrapText="1" indent="1"/>
    </xf>
    <xf numFmtId="1" fontId="4" fillId="0" borderId="1" xfId="0" applyNumberFormat="1" applyFont="1" applyBorder="1" applyAlignment="1">
      <alignment horizontal="right" vertical="center" wrapText="1" indent="1"/>
    </xf>
    <xf numFmtId="0" fontId="4" fillId="4" borderId="8" xfId="0" applyFont="1" applyFill="1" applyBorder="1" applyAlignment="1">
      <alignment horizontal="right" vertical="center" wrapText="1" indent="1"/>
    </xf>
    <xf numFmtId="9" fontId="4" fillId="4" borderId="8" xfId="1" applyFont="1" applyFill="1" applyBorder="1" applyAlignment="1">
      <alignment horizontal="right" vertical="center" wrapText="1" indent="1"/>
    </xf>
    <xf numFmtId="0" fontId="5" fillId="12" borderId="1" xfId="0" applyFont="1" applyFill="1" applyBorder="1" applyAlignment="1">
      <alignment horizontal="right" vertical="center" wrapText="1" indent="1"/>
    </xf>
    <xf numFmtId="0" fontId="5" fillId="13" borderId="1" xfId="0" applyFont="1" applyFill="1" applyBorder="1" applyAlignment="1">
      <alignment horizontal="right" vertical="center" wrapText="1" indent="1"/>
    </xf>
    <xf numFmtId="1" fontId="5" fillId="12" borderId="1" xfId="0" applyNumberFormat="1" applyFont="1" applyFill="1" applyBorder="1" applyAlignment="1">
      <alignment horizontal="right" vertical="center" wrapText="1" indent="1"/>
    </xf>
    <xf numFmtId="164" fontId="5" fillId="13" borderId="1" xfId="0" applyNumberFormat="1" applyFont="1" applyFill="1" applyBorder="1" applyAlignment="1">
      <alignment horizontal="right" vertical="center" wrapText="1" indent="1"/>
    </xf>
    <xf numFmtId="0" fontId="5" fillId="12" borderId="1" xfId="0" applyFont="1" applyFill="1" applyBorder="1" applyAlignment="1">
      <alignment horizontal="left" vertical="center" wrapText="1" indent="1"/>
    </xf>
    <xf numFmtId="0" fontId="5" fillId="13" borderId="1" xfId="0" applyFont="1" applyFill="1" applyBorder="1" applyAlignment="1">
      <alignment horizontal="left" vertical="center" wrapText="1" indent="1"/>
    </xf>
    <xf numFmtId="0" fontId="12" fillId="4" borderId="1" xfId="0" applyFont="1" applyFill="1" applyBorder="1" applyAlignment="1">
      <alignment horizontal="left" vertical="center" wrapText="1" indent="1" readingOrder="1"/>
    </xf>
    <xf numFmtId="9" fontId="4" fillId="4" borderId="1" xfId="0" applyNumberFormat="1"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9" fontId="5" fillId="4" borderId="0" xfId="0" applyNumberFormat="1" applyFont="1" applyFill="1" applyAlignment="1">
      <alignment vertical="center" wrapText="1"/>
    </xf>
    <xf numFmtId="0" fontId="25" fillId="4" borderId="8" xfId="0" applyFont="1" applyFill="1" applyBorder="1" applyAlignment="1">
      <alignment horizontal="right" vertical="center" wrapText="1" indent="1"/>
    </xf>
    <xf numFmtId="0" fontId="4" fillId="15" borderId="5" xfId="0" applyFont="1" applyFill="1" applyBorder="1" applyAlignment="1">
      <alignment horizontal="left" vertical="center" wrapText="1" indent="1"/>
    </xf>
    <xf numFmtId="0" fontId="4" fillId="15" borderId="8" xfId="0" applyFont="1" applyFill="1" applyBorder="1" applyAlignment="1">
      <alignment horizontal="left" vertical="center" wrapText="1" indent="1"/>
    </xf>
    <xf numFmtId="0" fontId="4" fillId="15" borderId="7" xfId="0" applyFont="1" applyFill="1" applyBorder="1" applyAlignment="1">
      <alignment horizontal="left" vertical="center" wrapText="1" indent="1"/>
    </xf>
    <xf numFmtId="0" fontId="17" fillId="3" borderId="0" xfId="0" applyFont="1" applyFill="1" applyAlignment="1">
      <alignment horizontal="left" vertical="center" wrapText="1" indent="1"/>
    </xf>
    <xf numFmtId="0" fontId="18" fillId="2" borderId="1" xfId="0" applyFont="1" applyFill="1" applyBorder="1" applyAlignment="1">
      <alignment horizontal="left" vertical="center" wrapText="1" indent="1"/>
    </xf>
    <xf numFmtId="0" fontId="4" fillId="11" borderId="5" xfId="0" applyFont="1" applyFill="1" applyBorder="1" applyAlignment="1">
      <alignment horizontal="left" vertical="center" wrapText="1" indent="1"/>
    </xf>
    <xf numFmtId="0" fontId="4" fillId="11" borderId="8" xfId="0" applyFont="1" applyFill="1" applyBorder="1" applyAlignment="1">
      <alignment horizontal="left" vertical="center" wrapText="1" indent="1"/>
    </xf>
    <xf numFmtId="0" fontId="4" fillId="11" borderId="7" xfId="0" applyFont="1" applyFill="1" applyBorder="1" applyAlignment="1">
      <alignment horizontal="left" vertical="center" wrapText="1" indent="1"/>
    </xf>
    <xf numFmtId="0" fontId="4" fillId="12" borderId="5" xfId="0" applyFont="1" applyFill="1" applyBorder="1" applyAlignment="1">
      <alignment horizontal="left" vertical="center" wrapText="1" indent="1"/>
    </xf>
    <xf numFmtId="0" fontId="4" fillId="12" borderId="8" xfId="0" applyFont="1" applyFill="1" applyBorder="1" applyAlignment="1">
      <alignment horizontal="left" vertical="center" wrapText="1" indent="1"/>
    </xf>
    <xf numFmtId="0" fontId="4" fillId="12" borderId="7"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0" fontId="4" fillId="13" borderId="8" xfId="0" applyFont="1" applyFill="1" applyBorder="1" applyAlignment="1">
      <alignment horizontal="left" vertical="center" wrapText="1" indent="1"/>
    </xf>
    <xf numFmtId="0" fontId="4" fillId="13" borderId="7"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14" borderId="15"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6" borderId="15"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5" fillId="16" borderId="16"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4" fillId="4" borderId="7" xfId="0" applyFont="1" applyFill="1" applyBorder="1" applyAlignment="1">
      <alignment horizontal="left" vertical="center" wrapText="1" indent="1"/>
    </xf>
    <xf numFmtId="0" fontId="18" fillId="2" borderId="1"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CAEBF8"/>
      <color rgb="FFF3C3AE"/>
      <color rgb="FFFBE3BE"/>
      <color rgb="FFCEE7D6"/>
      <color rgb="FF5ABC89"/>
      <color rgb="FFDBC2DE"/>
      <color rgb="FF992B91"/>
      <color rgb="FFF1B138"/>
      <color rgb="FF29C3EC"/>
      <color rgb="FF083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2040255</xdr:colOff>
      <xdr:row>5</xdr:row>
      <xdr:rowOff>102292</xdr:rowOff>
    </xdr:to>
    <xdr:pic>
      <xdr:nvPicPr>
        <xdr:cNvPr id="3" name="Picture 2">
          <a:extLst>
            <a:ext uri="{FF2B5EF4-FFF2-40B4-BE49-F238E27FC236}">
              <a16:creationId xmlns:a16="http://schemas.microsoft.com/office/drawing/2014/main" id="{E45D9090-1AAC-480A-8F27-C8BB56F107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818" y="190500"/>
          <a:ext cx="2030186" cy="871641"/>
        </a:xfrm>
        <a:prstGeom prst="rect">
          <a:avLst/>
        </a:prstGeom>
      </xdr:spPr>
    </xdr:pic>
    <xdr:clientData/>
  </xdr:twoCellAnchor>
  <xdr:twoCellAnchor editAs="oneCell">
    <xdr:from>
      <xdr:col>1</xdr:col>
      <xdr:colOff>2235201</xdr:colOff>
      <xdr:row>1</xdr:row>
      <xdr:rowOff>59268</xdr:rowOff>
    </xdr:from>
    <xdr:to>
      <xdr:col>1</xdr:col>
      <xdr:colOff>3910511</xdr:colOff>
      <xdr:row>4</xdr:row>
      <xdr:rowOff>137772</xdr:rowOff>
    </xdr:to>
    <xdr:pic>
      <xdr:nvPicPr>
        <xdr:cNvPr id="2" name="Picture 1" descr="Text&#10;&#10;Description automatically generated">
          <a:extLst>
            <a:ext uri="{FF2B5EF4-FFF2-40B4-BE49-F238E27FC236}">
              <a16:creationId xmlns:a16="http://schemas.microsoft.com/office/drawing/2014/main" id="{F0868E1C-8AC1-84A2-B35E-11D401934B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3868" y="406401"/>
          <a:ext cx="1676400" cy="626692"/>
        </a:xfrm>
        <a:prstGeom prst="rect">
          <a:avLst/>
        </a:prstGeom>
        <a:noFill/>
        <a:ln>
          <a:noFill/>
        </a:ln>
      </xdr:spPr>
    </xdr:pic>
    <xdr:clientData/>
  </xdr:twoCellAnchor>
  <xdr:twoCellAnchor editAs="oneCell">
    <xdr:from>
      <xdr:col>1</xdr:col>
      <xdr:colOff>0</xdr:colOff>
      <xdr:row>12</xdr:row>
      <xdr:rowOff>1</xdr:rowOff>
    </xdr:from>
    <xdr:to>
      <xdr:col>1</xdr:col>
      <xdr:colOff>1765302</xdr:colOff>
      <xdr:row>15</xdr:row>
      <xdr:rowOff>22926</xdr:rowOff>
    </xdr:to>
    <xdr:pic>
      <xdr:nvPicPr>
        <xdr:cNvPr id="5" name="Picture 4">
          <a:extLst>
            <a:ext uri="{FF2B5EF4-FFF2-40B4-BE49-F238E27FC236}">
              <a16:creationId xmlns:a16="http://schemas.microsoft.com/office/drawing/2014/main" id="{EADCF1F7-E7CE-2445-8354-BBA5A402EC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6571" y="7493001"/>
          <a:ext cx="1759858" cy="6007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27" personId="{00000000-0000-0000-0000-000000000000}" id="{0A723308-772A-4479-9958-A4ECCE7D3C57}">
    <text>======
ID#AAAAvGE9ysU
Austin Whitman    (2023-04-14 16:21:14)
For clarity: we do not require companies to go through the SBTI formal process, but what you have written is correct, we require them to align with SBTI.</text>
  </threadedComment>
  <threadedComment ref="L133" personId="{00000000-0000-0000-0000-000000000000}" id="{2AB02E2F-01F3-454D-B929-9EC758534EA0}">
    <text>======
ID#AAAAvGE9ysc
Austin Whitman    (2023-04-14 16:27:16)
This comment is inapplicable to Compensation. It refers to our reduction requirements.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limateneutral.org/standards%20and%20Personal%20communications" TargetMode="External"/><Relationship Id="rId13" Type="http://schemas.openxmlformats.org/officeDocument/2006/relationships/hyperlink" Target="https://www.climateneutral.org/standards" TargetMode="External"/><Relationship Id="rId3" Type="http://schemas.openxmlformats.org/officeDocument/2006/relationships/hyperlink" Target="https://www.southpole.com/projects/project-development-standards-labels" TargetMode="External"/><Relationship Id="rId7" Type="http://schemas.openxmlformats.org/officeDocument/2006/relationships/hyperlink" Target="https://www.climateneutral.org/standards" TargetMode="External"/><Relationship Id="rId12" Type="http://schemas.openxmlformats.org/officeDocument/2006/relationships/hyperlink" Target="https://www.climateneutral.org/standards" TargetMode="External"/><Relationship Id="rId17" Type="http://schemas.microsoft.com/office/2017/10/relationships/threadedComment" Target="../threadedComments/threadedComment1.xml"/><Relationship Id="rId2" Type="http://schemas.openxmlformats.org/officeDocument/2006/relationships/hyperlink" Target="https://www.climateneutral.org/standards" TargetMode="External"/><Relationship Id="rId16" Type="http://schemas.openxmlformats.org/officeDocument/2006/relationships/comments" Target="../comments1.xml"/><Relationship Id="rId1" Type="http://schemas.openxmlformats.org/officeDocument/2006/relationships/hyperlink" Target="https://www.climateneutralcertification.com/about/climate-neutral-standard-2021/" TargetMode="External"/><Relationship Id="rId6" Type="http://schemas.openxmlformats.org/officeDocument/2006/relationships/hyperlink" Target="https://airportco2.org/what-do-verifiers-do.html" TargetMode="External"/><Relationship Id="rId11" Type="http://schemas.openxmlformats.org/officeDocument/2006/relationships/hyperlink" Target="https://www.climateneutral.org/standards%20and%20Personal%20communications" TargetMode="External"/><Relationship Id="rId5" Type="http://schemas.openxmlformats.org/officeDocument/2006/relationships/hyperlink" Target="https://www.airportcarbonaccreditation.org/airport/technical-documents.html" TargetMode="External"/><Relationship Id="rId15" Type="http://schemas.openxmlformats.org/officeDocument/2006/relationships/vmlDrawing" Target="../drawings/vmlDrawing1.vml"/><Relationship Id="rId10" Type="http://schemas.openxmlformats.org/officeDocument/2006/relationships/hyperlink" Target="https://www.bsigroup.com/en-CA/Our-services/Training-courses/" TargetMode="External"/><Relationship Id="rId4" Type="http://schemas.openxmlformats.org/officeDocument/2006/relationships/hyperlink" Target="https://www.climateneutralcertification.com/about/certification-bodies/" TargetMode="External"/><Relationship Id="rId9" Type="http://schemas.openxmlformats.org/officeDocument/2006/relationships/hyperlink" Target="https://www.climatepartner.com/en/academy"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30A2-1121-4BC2-90DD-768003E4C07A}">
  <dimension ref="B1:B23"/>
  <sheetViews>
    <sheetView tabSelected="1" zoomScale="90" zoomScaleNormal="90" workbookViewId="0">
      <selection activeCell="B12" sqref="B12"/>
    </sheetView>
  </sheetViews>
  <sheetFormatPr defaultColWidth="8.85546875" defaultRowHeight="15" x14ac:dyDescent="0.25"/>
  <cols>
    <col min="1" max="1" width="4.85546875" style="1" customWidth="1"/>
    <col min="2" max="2" width="121.42578125" style="1" customWidth="1"/>
    <col min="3" max="16384" width="8.85546875" style="1"/>
  </cols>
  <sheetData>
    <row r="1" spans="2:2" ht="27.75" customHeight="1" x14ac:dyDescent="0.25"/>
    <row r="8" spans="2:2" ht="409.5" x14ac:dyDescent="0.25">
      <c r="B8" s="2" t="s">
        <v>690</v>
      </c>
    </row>
    <row r="9" spans="2:2" x14ac:dyDescent="0.25">
      <c r="B9" s="2"/>
    </row>
    <row r="10" spans="2:2" x14ac:dyDescent="0.25">
      <c r="B10" s="2"/>
    </row>
    <row r="11" spans="2:2" x14ac:dyDescent="0.25">
      <c r="B11" s="2" t="s">
        <v>687</v>
      </c>
    </row>
    <row r="12" spans="2:2" x14ac:dyDescent="0.25">
      <c r="B12" s="2"/>
    </row>
    <row r="13" spans="2:2" x14ac:dyDescent="0.25">
      <c r="B13" s="2"/>
    </row>
    <row r="14" spans="2:2" x14ac:dyDescent="0.25">
      <c r="B14" s="2"/>
    </row>
    <row r="15" spans="2:2" x14ac:dyDescent="0.25">
      <c r="B15" s="2"/>
    </row>
    <row r="16" spans="2:2" x14ac:dyDescent="0.25">
      <c r="B16" s="2"/>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F2CA-8271-472B-B7A5-280B5911D42C}">
  <dimension ref="B1:I65"/>
  <sheetViews>
    <sheetView zoomScale="82" zoomScaleNormal="82" workbookViewId="0">
      <selection activeCell="B2" sqref="B2:I2"/>
    </sheetView>
  </sheetViews>
  <sheetFormatPr defaultColWidth="8.85546875" defaultRowHeight="14.25" x14ac:dyDescent="0.2"/>
  <cols>
    <col min="1" max="1" width="5.140625" style="6" customWidth="1"/>
    <col min="2" max="2" width="2.42578125" style="6" customWidth="1"/>
    <col min="3" max="3" width="24.140625" style="6" customWidth="1"/>
    <col min="4" max="4" width="12.28515625" style="6" customWidth="1"/>
    <col min="5" max="5" width="11.140625" style="7" customWidth="1"/>
    <col min="6" max="6" width="31.7109375" style="6" customWidth="1"/>
    <col min="7" max="7" width="53.7109375" style="6" customWidth="1"/>
    <col min="8" max="8" width="77.42578125" style="6" customWidth="1"/>
    <col min="9" max="9" width="12.7109375" style="6" bestFit="1" customWidth="1"/>
    <col min="10" max="16384" width="8.85546875" style="6"/>
  </cols>
  <sheetData>
    <row r="1" spans="2:9" ht="27" customHeight="1" x14ac:dyDescent="0.2"/>
    <row r="2" spans="2:9" ht="27" customHeight="1" x14ac:dyDescent="0.2">
      <c r="B2" s="154" t="s">
        <v>683</v>
      </c>
      <c r="C2" s="154"/>
      <c r="D2" s="154"/>
      <c r="E2" s="154"/>
      <c r="F2" s="154"/>
      <c r="G2" s="154"/>
      <c r="H2" s="154"/>
      <c r="I2" s="154"/>
    </row>
    <row r="3" spans="2:9" ht="27" customHeight="1" x14ac:dyDescent="0.2"/>
    <row r="4" spans="2:9" s="8" customFormat="1" ht="39.75" customHeight="1" x14ac:dyDescent="0.25">
      <c r="B4" s="155" t="s">
        <v>0</v>
      </c>
      <c r="C4" s="155"/>
      <c r="D4" s="9" t="s">
        <v>1</v>
      </c>
      <c r="E4" s="9" t="s">
        <v>2</v>
      </c>
      <c r="F4" s="9" t="s">
        <v>3</v>
      </c>
      <c r="G4" s="9" t="s">
        <v>168</v>
      </c>
      <c r="H4" s="9" t="s">
        <v>4</v>
      </c>
      <c r="I4" s="9" t="s">
        <v>5</v>
      </c>
    </row>
    <row r="5" spans="2:9" s="8" customFormat="1" ht="24.75" customHeight="1" x14ac:dyDescent="0.25">
      <c r="B5" s="156" t="s">
        <v>6</v>
      </c>
      <c r="C5" s="157"/>
      <c r="D5" s="157"/>
      <c r="E5" s="157"/>
      <c r="F5" s="157"/>
      <c r="G5" s="157"/>
      <c r="H5" s="157"/>
      <c r="I5" s="158"/>
    </row>
    <row r="6" spans="2:9" ht="56.25" customHeight="1" x14ac:dyDescent="0.2">
      <c r="B6" s="85"/>
      <c r="C6" s="3" t="s">
        <v>6</v>
      </c>
      <c r="D6" s="4" t="s">
        <v>7</v>
      </c>
      <c r="E6" s="5">
        <v>1.1000000000000001</v>
      </c>
      <c r="F6" s="5" t="s">
        <v>618</v>
      </c>
      <c r="G6" s="5" t="s">
        <v>8</v>
      </c>
      <c r="H6" s="5" t="s">
        <v>9</v>
      </c>
      <c r="I6" s="5">
        <v>2</v>
      </c>
    </row>
    <row r="7" spans="2:9" ht="56.25" customHeight="1" x14ac:dyDescent="0.2">
      <c r="B7" s="86"/>
      <c r="C7" s="3" t="s">
        <v>6</v>
      </c>
      <c r="D7" s="4" t="s">
        <v>10</v>
      </c>
      <c r="E7" s="5">
        <v>1.1000000000000001</v>
      </c>
      <c r="F7" s="5" t="s">
        <v>618</v>
      </c>
      <c r="G7" s="5" t="s">
        <v>11</v>
      </c>
      <c r="H7" s="5" t="s">
        <v>9</v>
      </c>
      <c r="I7" s="5">
        <v>2</v>
      </c>
    </row>
    <row r="8" spans="2:9" ht="56.25" customHeight="1" x14ac:dyDescent="0.2">
      <c r="B8" s="86"/>
      <c r="C8" s="3" t="s">
        <v>6</v>
      </c>
      <c r="D8" s="4" t="s">
        <v>12</v>
      </c>
      <c r="E8" s="5">
        <v>1.1000000000000001</v>
      </c>
      <c r="F8" s="5" t="s">
        <v>618</v>
      </c>
      <c r="G8" s="5" t="s">
        <v>13</v>
      </c>
      <c r="H8" s="5" t="s">
        <v>9</v>
      </c>
      <c r="I8" s="5">
        <v>2</v>
      </c>
    </row>
    <row r="9" spans="2:9" ht="102" customHeight="1" x14ac:dyDescent="0.2">
      <c r="B9" s="86"/>
      <c r="C9" s="3" t="s">
        <v>6</v>
      </c>
      <c r="D9" s="4" t="s">
        <v>14</v>
      </c>
      <c r="E9" s="5">
        <v>1.2</v>
      </c>
      <c r="F9" s="5" t="s">
        <v>619</v>
      </c>
      <c r="G9" s="5" t="s">
        <v>15</v>
      </c>
      <c r="H9" s="5" t="s">
        <v>16</v>
      </c>
      <c r="I9" s="5">
        <v>3</v>
      </c>
    </row>
    <row r="10" spans="2:9" ht="102" customHeight="1" x14ac:dyDescent="0.2">
      <c r="B10" s="86"/>
      <c r="C10" s="3" t="s">
        <v>6</v>
      </c>
      <c r="D10" s="4" t="s">
        <v>17</v>
      </c>
      <c r="E10" s="5">
        <v>1.2</v>
      </c>
      <c r="F10" s="5" t="s">
        <v>619</v>
      </c>
      <c r="G10" s="5" t="s">
        <v>18</v>
      </c>
      <c r="H10" s="5" t="s">
        <v>16</v>
      </c>
      <c r="I10" s="5">
        <v>3</v>
      </c>
    </row>
    <row r="11" spans="2:9" ht="102" customHeight="1" x14ac:dyDescent="0.2">
      <c r="B11" s="86"/>
      <c r="C11" s="3" t="s">
        <v>6</v>
      </c>
      <c r="D11" s="4" t="s">
        <v>19</v>
      </c>
      <c r="E11" s="5">
        <v>1.2</v>
      </c>
      <c r="F11" s="5" t="s">
        <v>619</v>
      </c>
      <c r="G11" s="5" t="s">
        <v>20</v>
      </c>
      <c r="H11" s="5" t="s">
        <v>16</v>
      </c>
      <c r="I11" s="5">
        <v>3</v>
      </c>
    </row>
    <row r="12" spans="2:9" ht="54.75" customHeight="1" x14ac:dyDescent="0.2">
      <c r="B12" s="86"/>
      <c r="C12" s="3" t="s">
        <v>6</v>
      </c>
      <c r="D12" s="4" t="s">
        <v>21</v>
      </c>
      <c r="E12" s="5">
        <v>1.3</v>
      </c>
      <c r="F12" s="5" t="s">
        <v>620</v>
      </c>
      <c r="G12" s="5" t="s">
        <v>22</v>
      </c>
      <c r="H12" s="5" t="s">
        <v>23</v>
      </c>
      <c r="I12" s="5">
        <v>2</v>
      </c>
    </row>
    <row r="13" spans="2:9" ht="77.25" customHeight="1" x14ac:dyDescent="0.2">
      <c r="B13" s="86"/>
      <c r="C13" s="3" t="s">
        <v>6</v>
      </c>
      <c r="D13" s="4" t="s">
        <v>24</v>
      </c>
      <c r="E13" s="5">
        <v>1.4</v>
      </c>
      <c r="F13" s="5" t="s">
        <v>641</v>
      </c>
      <c r="G13" s="5" t="s">
        <v>25</v>
      </c>
      <c r="H13" s="5" t="s">
        <v>26</v>
      </c>
      <c r="I13" s="5">
        <v>2</v>
      </c>
    </row>
    <row r="14" spans="2:9" ht="100.5" customHeight="1" x14ac:dyDescent="0.2">
      <c r="B14" s="86"/>
      <c r="C14" s="3" t="s">
        <v>6</v>
      </c>
      <c r="D14" s="4" t="s">
        <v>27</v>
      </c>
      <c r="E14" s="5">
        <v>1.5</v>
      </c>
      <c r="F14" s="5" t="s">
        <v>641</v>
      </c>
      <c r="G14" s="5" t="s">
        <v>28</v>
      </c>
      <c r="H14" s="5" t="s">
        <v>29</v>
      </c>
      <c r="I14" s="5">
        <v>3</v>
      </c>
    </row>
    <row r="15" spans="2:9" ht="100.5" customHeight="1" x14ac:dyDescent="0.2">
      <c r="B15" s="86"/>
      <c r="C15" s="3" t="s">
        <v>6</v>
      </c>
      <c r="D15" s="4" t="s">
        <v>30</v>
      </c>
      <c r="E15" s="5">
        <v>1.5</v>
      </c>
      <c r="F15" s="5" t="s">
        <v>641</v>
      </c>
      <c r="G15" s="5" t="s">
        <v>31</v>
      </c>
      <c r="H15" s="5" t="s">
        <v>29</v>
      </c>
      <c r="I15" s="5">
        <v>3</v>
      </c>
    </row>
    <row r="16" spans="2:9" ht="100.5" customHeight="1" x14ac:dyDescent="0.2">
      <c r="B16" s="86"/>
      <c r="C16" s="3" t="s">
        <v>6</v>
      </c>
      <c r="D16" s="4" t="s">
        <v>32</v>
      </c>
      <c r="E16" s="5">
        <v>1.5</v>
      </c>
      <c r="F16" s="5" t="s">
        <v>621</v>
      </c>
      <c r="G16" s="5" t="s">
        <v>33</v>
      </c>
      <c r="H16" s="5" t="s">
        <v>29</v>
      </c>
      <c r="I16" s="5">
        <v>3</v>
      </c>
    </row>
    <row r="17" spans="2:9" ht="86.25" customHeight="1" x14ac:dyDescent="0.2">
      <c r="B17" s="86"/>
      <c r="C17" s="3" t="s">
        <v>6</v>
      </c>
      <c r="D17" s="4" t="s">
        <v>34</v>
      </c>
      <c r="E17" s="5">
        <v>1.6</v>
      </c>
      <c r="F17" s="5" t="s">
        <v>622</v>
      </c>
      <c r="G17" s="5" t="s">
        <v>35</v>
      </c>
      <c r="H17" s="5" t="s">
        <v>36</v>
      </c>
      <c r="I17" s="5">
        <v>3</v>
      </c>
    </row>
    <row r="18" spans="2:9" ht="86.25" customHeight="1" x14ac:dyDescent="0.2">
      <c r="B18" s="86"/>
      <c r="C18" s="3" t="s">
        <v>6</v>
      </c>
      <c r="D18" s="4" t="s">
        <v>37</v>
      </c>
      <c r="E18" s="5">
        <v>1.6</v>
      </c>
      <c r="F18" s="5" t="s">
        <v>622</v>
      </c>
      <c r="G18" s="5" t="s">
        <v>38</v>
      </c>
      <c r="H18" s="5" t="s">
        <v>36</v>
      </c>
      <c r="I18" s="5">
        <v>3</v>
      </c>
    </row>
    <row r="19" spans="2:9" ht="86.25" customHeight="1" x14ac:dyDescent="0.2">
      <c r="B19" s="86"/>
      <c r="C19" s="3" t="s">
        <v>6</v>
      </c>
      <c r="D19" s="4" t="s">
        <v>39</v>
      </c>
      <c r="E19" s="5">
        <v>1.6</v>
      </c>
      <c r="F19" s="5" t="s">
        <v>622</v>
      </c>
      <c r="G19" s="5" t="s">
        <v>40</v>
      </c>
      <c r="H19" s="5" t="s">
        <v>36</v>
      </c>
      <c r="I19" s="5">
        <v>3</v>
      </c>
    </row>
    <row r="20" spans="2:9" ht="72.75" customHeight="1" x14ac:dyDescent="0.2">
      <c r="B20" s="86"/>
      <c r="C20" s="3" t="s">
        <v>6</v>
      </c>
      <c r="D20" s="4" t="s">
        <v>41</v>
      </c>
      <c r="E20" s="5">
        <v>1.7</v>
      </c>
      <c r="F20" s="5" t="s">
        <v>623</v>
      </c>
      <c r="G20" s="5" t="s">
        <v>42</v>
      </c>
      <c r="H20" s="5" t="s">
        <v>43</v>
      </c>
      <c r="I20" s="5">
        <v>3</v>
      </c>
    </row>
    <row r="21" spans="2:9" ht="72.75" customHeight="1" x14ac:dyDescent="0.2">
      <c r="B21" s="86"/>
      <c r="C21" s="3" t="s">
        <v>6</v>
      </c>
      <c r="D21" s="4" t="s">
        <v>44</v>
      </c>
      <c r="E21" s="5">
        <v>1.7</v>
      </c>
      <c r="F21" s="5" t="s">
        <v>623</v>
      </c>
      <c r="G21" s="5" t="s">
        <v>45</v>
      </c>
      <c r="H21" s="5" t="s">
        <v>43</v>
      </c>
      <c r="I21" s="5">
        <v>3</v>
      </c>
    </row>
    <row r="22" spans="2:9" ht="72.75" customHeight="1" x14ac:dyDescent="0.2">
      <c r="B22" s="86"/>
      <c r="C22" s="3" t="s">
        <v>6</v>
      </c>
      <c r="D22" s="4" t="s">
        <v>46</v>
      </c>
      <c r="E22" s="5">
        <v>1.7</v>
      </c>
      <c r="F22" s="5" t="s">
        <v>623</v>
      </c>
      <c r="G22" s="5" t="s">
        <v>47</v>
      </c>
      <c r="H22" s="5" t="s">
        <v>43</v>
      </c>
      <c r="I22" s="5">
        <v>3</v>
      </c>
    </row>
    <row r="23" spans="2:9" ht="88.5" customHeight="1" x14ac:dyDescent="0.2">
      <c r="B23" s="86"/>
      <c r="C23" s="3" t="s">
        <v>6</v>
      </c>
      <c r="D23" s="4" t="s">
        <v>48</v>
      </c>
      <c r="E23" s="5">
        <v>1.8</v>
      </c>
      <c r="F23" s="5" t="s">
        <v>624</v>
      </c>
      <c r="G23" s="5" t="s">
        <v>49</v>
      </c>
      <c r="H23" s="5" t="s">
        <v>50</v>
      </c>
      <c r="I23" s="5">
        <v>2</v>
      </c>
    </row>
    <row r="24" spans="2:9" ht="72.75" customHeight="1" x14ac:dyDescent="0.2">
      <c r="B24" s="86"/>
      <c r="C24" s="3" t="s">
        <v>6</v>
      </c>
      <c r="D24" s="4" t="s">
        <v>51</v>
      </c>
      <c r="E24" s="5">
        <v>1.8</v>
      </c>
      <c r="F24" s="5" t="s">
        <v>624</v>
      </c>
      <c r="G24" s="5" t="s">
        <v>52</v>
      </c>
      <c r="H24" s="5" t="s">
        <v>53</v>
      </c>
      <c r="I24" s="5">
        <v>6</v>
      </c>
    </row>
    <row r="25" spans="2:9" ht="55.5" customHeight="1" x14ac:dyDescent="0.2">
      <c r="B25" s="86"/>
      <c r="C25" s="3" t="s">
        <v>6</v>
      </c>
      <c r="D25" s="4" t="s">
        <v>54</v>
      </c>
      <c r="E25" s="5">
        <v>1.8</v>
      </c>
      <c r="F25" s="5" t="s">
        <v>624</v>
      </c>
      <c r="G25" s="5" t="s">
        <v>55</v>
      </c>
      <c r="H25" s="5" t="s">
        <v>56</v>
      </c>
      <c r="I25" s="5">
        <v>2</v>
      </c>
    </row>
    <row r="26" spans="2:9" ht="73.5" customHeight="1" x14ac:dyDescent="0.2">
      <c r="B26" s="86"/>
      <c r="C26" s="3" t="s">
        <v>6</v>
      </c>
      <c r="D26" s="4" t="s">
        <v>57</v>
      </c>
      <c r="E26" s="5">
        <v>1.9</v>
      </c>
      <c r="F26" s="5" t="s">
        <v>58</v>
      </c>
      <c r="G26" s="5" t="s">
        <v>59</v>
      </c>
      <c r="H26" s="5" t="s">
        <v>60</v>
      </c>
      <c r="I26" s="5">
        <v>2</v>
      </c>
    </row>
    <row r="27" spans="2:9" ht="102.75" customHeight="1" x14ac:dyDescent="0.2">
      <c r="B27" s="86"/>
      <c r="C27" s="3" t="s">
        <v>6</v>
      </c>
      <c r="D27" s="4" t="s">
        <v>61</v>
      </c>
      <c r="E27" s="5">
        <v>1.9</v>
      </c>
      <c r="F27" s="5" t="s">
        <v>58</v>
      </c>
      <c r="G27" s="5" t="s">
        <v>62</v>
      </c>
      <c r="H27" s="5" t="s">
        <v>63</v>
      </c>
      <c r="I27" s="5">
        <v>2</v>
      </c>
    </row>
    <row r="28" spans="2:9" ht="73.5" customHeight="1" x14ac:dyDescent="0.2">
      <c r="B28" s="87"/>
      <c r="C28" s="84" t="s">
        <v>6</v>
      </c>
      <c r="D28" s="49" t="s">
        <v>64</v>
      </c>
      <c r="E28" s="48">
        <v>1.9</v>
      </c>
      <c r="F28" s="48" t="s">
        <v>58</v>
      </c>
      <c r="G28" s="48" t="s">
        <v>65</v>
      </c>
      <c r="H28" s="48" t="s">
        <v>66</v>
      </c>
      <c r="I28" s="48">
        <v>2</v>
      </c>
    </row>
    <row r="29" spans="2:9" ht="24.75" customHeight="1" x14ac:dyDescent="0.2">
      <c r="B29" s="159" t="s">
        <v>67</v>
      </c>
      <c r="C29" s="160"/>
      <c r="D29" s="160"/>
      <c r="E29" s="160"/>
      <c r="F29" s="160"/>
      <c r="G29" s="160"/>
      <c r="H29" s="160"/>
      <c r="I29" s="161"/>
    </row>
    <row r="30" spans="2:9" ht="106.5" customHeight="1" x14ac:dyDescent="0.2">
      <c r="B30" s="89"/>
      <c r="C30" s="88" t="s">
        <v>67</v>
      </c>
      <c r="D30" s="47" t="s">
        <v>68</v>
      </c>
      <c r="E30" s="46">
        <v>2.1</v>
      </c>
      <c r="F30" s="46" t="s">
        <v>642</v>
      </c>
      <c r="G30" s="46" t="s">
        <v>69</v>
      </c>
      <c r="H30" s="46" t="s">
        <v>70</v>
      </c>
      <c r="I30" s="46">
        <v>2</v>
      </c>
    </row>
    <row r="31" spans="2:9" ht="72.75" customHeight="1" x14ac:dyDescent="0.2">
      <c r="B31" s="89"/>
      <c r="C31" s="3" t="s">
        <v>71</v>
      </c>
      <c r="D31" s="4" t="s">
        <v>72</v>
      </c>
      <c r="E31" s="5">
        <v>2.2000000000000002</v>
      </c>
      <c r="F31" s="5" t="s">
        <v>73</v>
      </c>
      <c r="G31" s="5" t="s">
        <v>74</v>
      </c>
      <c r="H31" s="5" t="s">
        <v>75</v>
      </c>
      <c r="I31" s="5">
        <v>3</v>
      </c>
    </row>
    <row r="32" spans="2:9" ht="69.75" customHeight="1" x14ac:dyDescent="0.2">
      <c r="B32" s="89"/>
      <c r="C32" s="3" t="s">
        <v>71</v>
      </c>
      <c r="D32" s="4" t="s">
        <v>76</v>
      </c>
      <c r="E32" s="5">
        <v>2.2999999999999998</v>
      </c>
      <c r="F32" s="5" t="s">
        <v>77</v>
      </c>
      <c r="G32" s="5" t="s">
        <v>78</v>
      </c>
      <c r="H32" s="5" t="s">
        <v>75</v>
      </c>
      <c r="I32" s="5">
        <v>3</v>
      </c>
    </row>
    <row r="33" spans="2:9" ht="72.75" customHeight="1" x14ac:dyDescent="0.2">
      <c r="B33" s="89"/>
      <c r="C33" s="3" t="s">
        <v>71</v>
      </c>
      <c r="D33" s="4" t="s">
        <v>79</v>
      </c>
      <c r="E33" s="5">
        <v>2.4</v>
      </c>
      <c r="F33" s="5" t="s">
        <v>80</v>
      </c>
      <c r="G33" s="5" t="s">
        <v>81</v>
      </c>
      <c r="H33" s="5" t="s">
        <v>75</v>
      </c>
      <c r="I33" s="5">
        <v>3</v>
      </c>
    </row>
    <row r="34" spans="2:9" ht="56.25" customHeight="1" x14ac:dyDescent="0.2">
      <c r="B34" s="89"/>
      <c r="C34" s="3" t="s">
        <v>67</v>
      </c>
      <c r="D34" s="4" t="s">
        <v>82</v>
      </c>
      <c r="E34" s="5">
        <v>2.5</v>
      </c>
      <c r="F34" s="5" t="s">
        <v>83</v>
      </c>
      <c r="G34" s="5" t="s">
        <v>84</v>
      </c>
      <c r="H34" s="5" t="s">
        <v>85</v>
      </c>
      <c r="I34" s="5">
        <v>1</v>
      </c>
    </row>
    <row r="35" spans="2:9" ht="73.5" customHeight="1" x14ac:dyDescent="0.2">
      <c r="B35" s="89"/>
      <c r="C35" s="3" t="s">
        <v>67</v>
      </c>
      <c r="D35" s="4" t="s">
        <v>86</v>
      </c>
      <c r="E35" s="5">
        <v>2.6</v>
      </c>
      <c r="F35" s="5" t="s">
        <v>625</v>
      </c>
      <c r="G35" s="5" t="s">
        <v>87</v>
      </c>
      <c r="H35" s="5" t="s">
        <v>88</v>
      </c>
      <c r="I35" s="5">
        <v>2</v>
      </c>
    </row>
    <row r="36" spans="2:9" ht="73.5" customHeight="1" x14ac:dyDescent="0.2">
      <c r="B36" s="89"/>
      <c r="C36" s="3" t="s">
        <v>67</v>
      </c>
      <c r="D36" s="4" t="s">
        <v>89</v>
      </c>
      <c r="E36" s="5">
        <v>2.6</v>
      </c>
      <c r="F36" s="5" t="s">
        <v>625</v>
      </c>
      <c r="G36" s="5" t="s">
        <v>90</v>
      </c>
      <c r="H36" s="5" t="s">
        <v>91</v>
      </c>
      <c r="I36" s="5">
        <v>1</v>
      </c>
    </row>
    <row r="37" spans="2:9" ht="42" customHeight="1" x14ac:dyDescent="0.2">
      <c r="B37" s="89"/>
      <c r="C37" s="3" t="s">
        <v>92</v>
      </c>
      <c r="D37" s="4" t="s">
        <v>93</v>
      </c>
      <c r="E37" s="5">
        <v>2.7</v>
      </c>
      <c r="F37" s="5" t="s">
        <v>626</v>
      </c>
      <c r="G37" s="5" t="s">
        <v>94</v>
      </c>
      <c r="H37" s="5" t="s">
        <v>85</v>
      </c>
      <c r="I37" s="5">
        <v>1</v>
      </c>
    </row>
    <row r="38" spans="2:9" ht="90.75" customHeight="1" x14ac:dyDescent="0.2">
      <c r="B38" s="89"/>
      <c r="C38" s="3" t="s">
        <v>92</v>
      </c>
      <c r="D38" s="4" t="s">
        <v>95</v>
      </c>
      <c r="E38" s="5">
        <v>2.8</v>
      </c>
      <c r="F38" s="5" t="s">
        <v>96</v>
      </c>
      <c r="G38" s="5" t="s">
        <v>97</v>
      </c>
      <c r="H38" s="5" t="s">
        <v>98</v>
      </c>
      <c r="I38" s="5">
        <v>3</v>
      </c>
    </row>
    <row r="39" spans="2:9" ht="58.5" customHeight="1" x14ac:dyDescent="0.2">
      <c r="B39" s="89"/>
      <c r="C39" s="3" t="s">
        <v>92</v>
      </c>
      <c r="D39" s="4" t="s">
        <v>99</v>
      </c>
      <c r="E39" s="5">
        <v>2.9</v>
      </c>
      <c r="F39" s="5" t="s">
        <v>100</v>
      </c>
      <c r="G39" s="5" t="s">
        <v>101</v>
      </c>
      <c r="H39" s="5" t="s">
        <v>85</v>
      </c>
      <c r="I39" s="5">
        <v>1</v>
      </c>
    </row>
    <row r="40" spans="2:9" ht="54.75" customHeight="1" x14ac:dyDescent="0.2">
      <c r="B40" s="89"/>
      <c r="C40" s="3" t="s">
        <v>92</v>
      </c>
      <c r="D40" s="4" t="s">
        <v>102</v>
      </c>
      <c r="E40" s="5">
        <v>2.9</v>
      </c>
      <c r="F40" s="5" t="s">
        <v>100</v>
      </c>
      <c r="G40" s="5" t="s">
        <v>103</v>
      </c>
      <c r="H40" s="5" t="s">
        <v>85</v>
      </c>
      <c r="I40" s="5">
        <v>1</v>
      </c>
    </row>
    <row r="41" spans="2:9" ht="60" customHeight="1" x14ac:dyDescent="0.2">
      <c r="B41" s="89"/>
      <c r="C41" s="84" t="s">
        <v>92</v>
      </c>
      <c r="D41" s="49" t="s">
        <v>104</v>
      </c>
      <c r="E41" s="48">
        <v>2.9</v>
      </c>
      <c r="F41" s="48" t="s">
        <v>100</v>
      </c>
      <c r="G41" s="48" t="s">
        <v>105</v>
      </c>
      <c r="H41" s="48" t="s">
        <v>85</v>
      </c>
      <c r="I41" s="48">
        <v>1</v>
      </c>
    </row>
    <row r="42" spans="2:9" ht="24.75" customHeight="1" x14ac:dyDescent="0.2">
      <c r="B42" s="162" t="s">
        <v>261</v>
      </c>
      <c r="C42" s="163"/>
      <c r="D42" s="163"/>
      <c r="E42" s="163"/>
      <c r="F42" s="163"/>
      <c r="G42" s="163"/>
      <c r="H42" s="163"/>
      <c r="I42" s="164"/>
    </row>
    <row r="43" spans="2:9" ht="40.5" customHeight="1" x14ac:dyDescent="0.2">
      <c r="B43" s="90"/>
      <c r="C43" s="88" t="s">
        <v>106</v>
      </c>
      <c r="D43" s="47" t="s">
        <v>107</v>
      </c>
      <c r="E43" s="46">
        <v>3.1</v>
      </c>
      <c r="F43" s="46" t="s">
        <v>108</v>
      </c>
      <c r="G43" s="46" t="s">
        <v>109</v>
      </c>
      <c r="H43" s="46" t="s">
        <v>110</v>
      </c>
      <c r="I43" s="46">
        <v>1</v>
      </c>
    </row>
    <row r="44" spans="2:9" ht="73.5" customHeight="1" x14ac:dyDescent="0.2">
      <c r="B44" s="90"/>
      <c r="C44" s="3" t="s">
        <v>111</v>
      </c>
      <c r="D44" s="4" t="s">
        <v>112</v>
      </c>
      <c r="E44" s="5">
        <v>3.2</v>
      </c>
      <c r="F44" s="5" t="s">
        <v>113</v>
      </c>
      <c r="G44" s="5" t="s">
        <v>114</v>
      </c>
      <c r="H44" s="5" t="s">
        <v>115</v>
      </c>
      <c r="I44" s="5">
        <v>1</v>
      </c>
    </row>
    <row r="45" spans="2:9" ht="72" customHeight="1" x14ac:dyDescent="0.2">
      <c r="B45" s="90"/>
      <c r="C45" s="3" t="s">
        <v>111</v>
      </c>
      <c r="D45" s="4" t="s">
        <v>116</v>
      </c>
      <c r="E45" s="5">
        <v>3.2</v>
      </c>
      <c r="F45" s="5" t="s">
        <v>113</v>
      </c>
      <c r="G45" s="5" t="s">
        <v>117</v>
      </c>
      <c r="H45" s="5" t="s">
        <v>115</v>
      </c>
      <c r="I45" s="5">
        <v>1</v>
      </c>
    </row>
    <row r="46" spans="2:9" ht="73.5" customHeight="1" x14ac:dyDescent="0.2">
      <c r="B46" s="90"/>
      <c r="C46" s="3" t="s">
        <v>111</v>
      </c>
      <c r="D46" s="4" t="s">
        <v>118</v>
      </c>
      <c r="E46" s="5">
        <v>3.2</v>
      </c>
      <c r="F46" s="5" t="s">
        <v>113</v>
      </c>
      <c r="G46" s="5" t="s">
        <v>119</v>
      </c>
      <c r="H46" s="5" t="s">
        <v>115</v>
      </c>
      <c r="I46" s="5">
        <v>1</v>
      </c>
    </row>
    <row r="47" spans="2:9" ht="100.5" customHeight="1" x14ac:dyDescent="0.2">
      <c r="B47" s="90"/>
      <c r="C47" s="3" t="s">
        <v>111</v>
      </c>
      <c r="D47" s="4" t="s">
        <v>120</v>
      </c>
      <c r="E47" s="5">
        <v>3.3</v>
      </c>
      <c r="F47" s="5" t="s">
        <v>627</v>
      </c>
      <c r="G47" s="5" t="s">
        <v>121</v>
      </c>
      <c r="H47" s="5" t="s">
        <v>122</v>
      </c>
      <c r="I47" s="5">
        <v>1</v>
      </c>
    </row>
    <row r="48" spans="2:9" ht="57" customHeight="1" x14ac:dyDescent="0.2">
      <c r="B48" s="90"/>
      <c r="C48" s="3" t="s">
        <v>111</v>
      </c>
      <c r="D48" s="4" t="s">
        <v>123</v>
      </c>
      <c r="E48" s="5">
        <v>3.4</v>
      </c>
      <c r="F48" s="5" t="s">
        <v>628</v>
      </c>
      <c r="G48" s="5" t="s">
        <v>124</v>
      </c>
      <c r="H48" s="5" t="s">
        <v>115</v>
      </c>
      <c r="I48" s="5">
        <v>1</v>
      </c>
    </row>
    <row r="49" spans="2:9" ht="72" customHeight="1" x14ac:dyDescent="0.2">
      <c r="B49" s="90"/>
      <c r="C49" s="3" t="s">
        <v>125</v>
      </c>
      <c r="D49" s="4" t="s">
        <v>126</v>
      </c>
      <c r="E49" s="5">
        <v>3.5</v>
      </c>
      <c r="F49" s="5" t="s">
        <v>127</v>
      </c>
      <c r="G49" s="5" t="s">
        <v>128</v>
      </c>
      <c r="H49" s="5" t="s">
        <v>129</v>
      </c>
      <c r="I49" s="5">
        <v>1</v>
      </c>
    </row>
    <row r="50" spans="2:9" ht="54.75" customHeight="1" x14ac:dyDescent="0.2">
      <c r="B50" s="90"/>
      <c r="C50" s="3" t="s">
        <v>130</v>
      </c>
      <c r="D50" s="4" t="s">
        <v>131</v>
      </c>
      <c r="E50" s="5">
        <v>3.6</v>
      </c>
      <c r="F50" s="5" t="s">
        <v>255</v>
      </c>
      <c r="G50" s="5" t="s">
        <v>132</v>
      </c>
      <c r="H50" s="5" t="s">
        <v>115</v>
      </c>
      <c r="I50" s="5">
        <v>1</v>
      </c>
    </row>
    <row r="51" spans="2:9" ht="56.25" customHeight="1" x14ac:dyDescent="0.2">
      <c r="B51" s="90"/>
      <c r="C51" s="84" t="s">
        <v>130</v>
      </c>
      <c r="D51" s="49" t="s">
        <v>133</v>
      </c>
      <c r="E51" s="48">
        <v>3.7</v>
      </c>
      <c r="F51" s="48" t="s">
        <v>260</v>
      </c>
      <c r="G51" s="48" t="s">
        <v>134</v>
      </c>
      <c r="H51" s="48" t="s">
        <v>135</v>
      </c>
      <c r="I51" s="48">
        <v>1</v>
      </c>
    </row>
    <row r="52" spans="2:9" ht="24.75" customHeight="1" x14ac:dyDescent="0.2">
      <c r="B52" s="151" t="s">
        <v>282</v>
      </c>
      <c r="C52" s="152"/>
      <c r="D52" s="152"/>
      <c r="E52" s="152"/>
      <c r="F52" s="152"/>
      <c r="G52" s="152"/>
      <c r="H52" s="152"/>
      <c r="I52" s="153"/>
    </row>
    <row r="53" spans="2:9" ht="54" customHeight="1" x14ac:dyDescent="0.2">
      <c r="B53" s="91"/>
      <c r="C53" s="88" t="s">
        <v>136</v>
      </c>
      <c r="D53" s="47" t="s">
        <v>137</v>
      </c>
      <c r="E53" s="46">
        <v>4.0999999999999996</v>
      </c>
      <c r="F53" s="46" t="s">
        <v>629</v>
      </c>
      <c r="G53" s="46" t="s">
        <v>138</v>
      </c>
      <c r="H53" s="46" t="s">
        <v>85</v>
      </c>
      <c r="I53" s="46">
        <v>1</v>
      </c>
    </row>
    <row r="54" spans="2:9" ht="55.5" customHeight="1" x14ac:dyDescent="0.2">
      <c r="B54" s="91"/>
      <c r="C54" s="3" t="s">
        <v>139</v>
      </c>
      <c r="D54" s="4" t="s">
        <v>140</v>
      </c>
      <c r="E54" s="5">
        <v>4.2</v>
      </c>
      <c r="F54" s="5" t="s">
        <v>630</v>
      </c>
      <c r="G54" s="5" t="s">
        <v>141</v>
      </c>
      <c r="H54" s="5" t="s">
        <v>142</v>
      </c>
      <c r="I54" s="5">
        <v>2</v>
      </c>
    </row>
    <row r="55" spans="2:9" ht="55.5" customHeight="1" x14ac:dyDescent="0.2">
      <c r="B55" s="91"/>
      <c r="C55" s="3" t="s">
        <v>139</v>
      </c>
      <c r="D55" s="4" t="s">
        <v>143</v>
      </c>
      <c r="E55" s="5">
        <v>4.3</v>
      </c>
      <c r="F55" s="5" t="s">
        <v>631</v>
      </c>
      <c r="G55" s="5" t="s">
        <v>144</v>
      </c>
      <c r="H55" s="5" t="s">
        <v>142</v>
      </c>
      <c r="I55" s="5">
        <v>2</v>
      </c>
    </row>
    <row r="56" spans="2:9" ht="147.75" customHeight="1" x14ac:dyDescent="0.2">
      <c r="B56" s="91"/>
      <c r="C56" s="3" t="s">
        <v>139</v>
      </c>
      <c r="D56" s="4" t="s">
        <v>145</v>
      </c>
      <c r="E56" s="5">
        <v>4.4000000000000004</v>
      </c>
      <c r="F56" s="5" t="s">
        <v>632</v>
      </c>
      <c r="G56" s="5" t="s">
        <v>146</v>
      </c>
      <c r="H56" s="5" t="s">
        <v>147</v>
      </c>
      <c r="I56" s="5">
        <v>7</v>
      </c>
    </row>
    <row r="57" spans="2:9" ht="55.5" customHeight="1" x14ac:dyDescent="0.2">
      <c r="B57" s="91"/>
      <c r="C57" s="3" t="s">
        <v>148</v>
      </c>
      <c r="D57" s="4" t="s">
        <v>149</v>
      </c>
      <c r="E57" s="5">
        <v>4.5</v>
      </c>
      <c r="F57" s="5" t="s">
        <v>633</v>
      </c>
      <c r="G57" s="5" t="s">
        <v>150</v>
      </c>
      <c r="H57" s="5" t="s">
        <v>115</v>
      </c>
      <c r="I57" s="5">
        <v>1</v>
      </c>
    </row>
    <row r="58" spans="2:9" ht="56.25" customHeight="1" x14ac:dyDescent="0.2">
      <c r="B58" s="91"/>
      <c r="C58" s="3" t="s">
        <v>148</v>
      </c>
      <c r="D58" s="4" t="s">
        <v>151</v>
      </c>
      <c r="E58" s="5">
        <v>4.5999999999999996</v>
      </c>
      <c r="F58" s="5" t="s">
        <v>634</v>
      </c>
      <c r="G58" s="5" t="s">
        <v>152</v>
      </c>
      <c r="H58" s="5" t="s">
        <v>85</v>
      </c>
      <c r="I58" s="5">
        <v>1</v>
      </c>
    </row>
    <row r="59" spans="2:9" ht="59.25" customHeight="1" x14ac:dyDescent="0.2">
      <c r="B59" s="91"/>
      <c r="C59" s="3" t="s">
        <v>148</v>
      </c>
      <c r="D59" s="4" t="s">
        <v>153</v>
      </c>
      <c r="E59" s="5">
        <v>4.7</v>
      </c>
      <c r="F59" s="5" t="s">
        <v>635</v>
      </c>
      <c r="G59" s="5" t="s">
        <v>154</v>
      </c>
      <c r="H59" s="5" t="s">
        <v>85</v>
      </c>
      <c r="I59" s="5">
        <v>1</v>
      </c>
    </row>
    <row r="60" spans="2:9" ht="57.75" customHeight="1" x14ac:dyDescent="0.2">
      <c r="B60" s="91"/>
      <c r="C60" s="3" t="s">
        <v>148</v>
      </c>
      <c r="D60" s="4" t="s">
        <v>155</v>
      </c>
      <c r="E60" s="5">
        <v>4.8</v>
      </c>
      <c r="F60" s="5" t="s">
        <v>156</v>
      </c>
      <c r="G60" s="5" t="s">
        <v>157</v>
      </c>
      <c r="H60" s="5" t="s">
        <v>85</v>
      </c>
      <c r="I60" s="5">
        <v>1</v>
      </c>
    </row>
    <row r="61" spans="2:9" ht="44.25" customHeight="1" x14ac:dyDescent="0.2">
      <c r="B61" s="91"/>
      <c r="C61" s="3" t="s">
        <v>136</v>
      </c>
      <c r="D61" s="4" t="s">
        <v>158</v>
      </c>
      <c r="E61" s="5">
        <v>4.9000000000000004</v>
      </c>
      <c r="F61" s="5" t="s">
        <v>636</v>
      </c>
      <c r="G61" s="5" t="s">
        <v>159</v>
      </c>
      <c r="H61" s="5" t="s">
        <v>85</v>
      </c>
      <c r="I61" s="5">
        <v>1</v>
      </c>
    </row>
    <row r="62" spans="2:9" ht="58.5" customHeight="1" x14ac:dyDescent="0.2">
      <c r="B62" s="91"/>
      <c r="C62" s="3" t="s">
        <v>136</v>
      </c>
      <c r="D62" s="4" t="s">
        <v>160</v>
      </c>
      <c r="E62" s="5">
        <v>4.0999999999999996</v>
      </c>
      <c r="F62" s="5" t="s">
        <v>637</v>
      </c>
      <c r="G62" s="5" t="s">
        <v>161</v>
      </c>
      <c r="H62" s="5" t="s">
        <v>85</v>
      </c>
      <c r="I62" s="5">
        <v>1</v>
      </c>
    </row>
    <row r="63" spans="2:9" ht="87" customHeight="1" x14ac:dyDescent="0.2">
      <c r="B63" s="91"/>
      <c r="C63" s="3" t="s">
        <v>136</v>
      </c>
      <c r="D63" s="4" t="s">
        <v>162</v>
      </c>
      <c r="E63" s="5">
        <v>4.1100000000000003</v>
      </c>
      <c r="F63" s="5" t="s">
        <v>638</v>
      </c>
      <c r="G63" s="5" t="s">
        <v>163</v>
      </c>
      <c r="H63" s="5" t="s">
        <v>85</v>
      </c>
      <c r="I63" s="5">
        <v>1</v>
      </c>
    </row>
    <row r="64" spans="2:9" ht="53.25" customHeight="1" x14ac:dyDescent="0.2">
      <c r="B64" s="91"/>
      <c r="C64" s="3" t="s">
        <v>136</v>
      </c>
      <c r="D64" s="4" t="s">
        <v>164</v>
      </c>
      <c r="E64" s="5">
        <v>4.12</v>
      </c>
      <c r="F64" s="5" t="s">
        <v>639</v>
      </c>
      <c r="G64" s="5" t="s">
        <v>165</v>
      </c>
      <c r="H64" s="5" t="s">
        <v>85</v>
      </c>
      <c r="I64" s="5">
        <v>1</v>
      </c>
    </row>
    <row r="65" spans="2:9" ht="58.5" customHeight="1" x14ac:dyDescent="0.2">
      <c r="B65" s="91"/>
      <c r="C65" s="3" t="s">
        <v>136</v>
      </c>
      <c r="D65" s="4" t="s">
        <v>166</v>
      </c>
      <c r="E65" s="5">
        <v>4.13</v>
      </c>
      <c r="F65" s="5" t="s">
        <v>640</v>
      </c>
      <c r="G65" s="5" t="s">
        <v>167</v>
      </c>
      <c r="H65" s="5" t="s">
        <v>85</v>
      </c>
      <c r="I65" s="5">
        <v>1</v>
      </c>
    </row>
  </sheetData>
  <mergeCells count="6">
    <mergeCell ref="B52:I52"/>
    <mergeCell ref="B2:I2"/>
    <mergeCell ref="B4:C4"/>
    <mergeCell ref="B5:I5"/>
    <mergeCell ref="B29:I29"/>
    <mergeCell ref="B42:I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F7F8-9CD7-4BE1-A4C6-09C83BD77CD9}">
  <dimension ref="B1:S517"/>
  <sheetViews>
    <sheetView zoomScale="86" zoomScaleNormal="86" workbookViewId="0">
      <pane xSplit="7" topLeftCell="H1" activePane="topRight" state="frozen"/>
      <selection activeCell="E1" sqref="E1"/>
      <selection pane="topRight" activeCell="B2" sqref="B2:I2"/>
    </sheetView>
  </sheetViews>
  <sheetFormatPr defaultColWidth="8.85546875" defaultRowHeight="15" x14ac:dyDescent="0.25"/>
  <cols>
    <col min="1" max="1" width="5.5703125" style="11" customWidth="1"/>
    <col min="2" max="2" width="12.28515625" style="11" customWidth="1"/>
    <col min="3" max="3" width="1.7109375" style="11" customWidth="1"/>
    <col min="4" max="4" width="24.140625" style="11" customWidth="1"/>
    <col min="5" max="5" width="11.7109375" style="13" customWidth="1"/>
    <col min="6" max="6" width="11.5703125" style="13" customWidth="1"/>
    <col min="7" max="7" width="25.5703125" style="11" customWidth="1"/>
    <col min="8" max="8" width="55.5703125" style="11" customWidth="1"/>
    <col min="9" max="9" width="56" style="11" customWidth="1"/>
    <col min="10" max="10" width="9.5703125" style="11" customWidth="1"/>
    <col min="11" max="11" width="9.140625" style="10" customWidth="1"/>
    <col min="12" max="12" width="37.28515625" style="11" customWidth="1"/>
    <col min="13" max="13" width="54.28515625" style="11" customWidth="1"/>
    <col min="14" max="16384" width="8.85546875" style="11"/>
  </cols>
  <sheetData>
    <row r="1" spans="2:13" ht="27" customHeight="1" x14ac:dyDescent="0.2">
      <c r="B1" s="6"/>
      <c r="C1" s="6"/>
      <c r="D1" s="6"/>
      <c r="E1" s="7"/>
      <c r="F1" s="6"/>
      <c r="G1" s="6"/>
      <c r="H1" s="6"/>
      <c r="I1" s="6"/>
    </row>
    <row r="2" spans="2:13" ht="27" customHeight="1" x14ac:dyDescent="0.25">
      <c r="B2" s="154" t="s">
        <v>684</v>
      </c>
      <c r="C2" s="154"/>
      <c r="D2" s="154"/>
      <c r="E2" s="154"/>
      <c r="F2" s="154"/>
      <c r="G2" s="154"/>
      <c r="H2" s="154"/>
      <c r="I2" s="154"/>
      <c r="J2" s="14"/>
      <c r="K2" s="15"/>
      <c r="L2" s="14"/>
      <c r="M2" s="14"/>
    </row>
    <row r="3" spans="2:13" ht="27" customHeight="1" x14ac:dyDescent="0.2">
      <c r="B3" s="6"/>
      <c r="C3" s="6"/>
      <c r="D3" s="6"/>
      <c r="E3" s="7"/>
      <c r="F3" s="6"/>
      <c r="G3" s="6"/>
      <c r="H3" s="6"/>
      <c r="I3" s="6"/>
    </row>
    <row r="4" spans="2:13" s="10" customFormat="1" ht="39.75" customHeight="1" x14ac:dyDescent="0.25">
      <c r="B4" s="16" t="s">
        <v>169</v>
      </c>
      <c r="C4" s="165" t="s">
        <v>0</v>
      </c>
      <c r="D4" s="166"/>
      <c r="E4" s="16" t="s">
        <v>1</v>
      </c>
      <c r="F4" s="16" t="s">
        <v>2</v>
      </c>
      <c r="G4" s="16" t="s">
        <v>3</v>
      </c>
      <c r="H4" s="16" t="s">
        <v>168</v>
      </c>
      <c r="I4" s="16" t="s">
        <v>4</v>
      </c>
      <c r="J4" s="16" t="s">
        <v>5</v>
      </c>
      <c r="K4" s="16" t="s">
        <v>170</v>
      </c>
      <c r="L4" s="16" t="s">
        <v>171</v>
      </c>
      <c r="M4" s="16" t="s">
        <v>172</v>
      </c>
    </row>
    <row r="5" spans="2:13" ht="51" x14ac:dyDescent="0.25">
      <c r="B5" s="19" t="s">
        <v>643</v>
      </c>
      <c r="C5" s="60"/>
      <c r="D5" s="57" t="s">
        <v>6</v>
      </c>
      <c r="E5" s="18" t="s">
        <v>7</v>
      </c>
      <c r="F5" s="17">
        <v>1.1000000000000001</v>
      </c>
      <c r="G5" s="17" t="s">
        <v>618</v>
      </c>
      <c r="H5" s="17" t="s">
        <v>8</v>
      </c>
      <c r="I5" s="17" t="s">
        <v>9</v>
      </c>
      <c r="J5" s="17">
        <v>2</v>
      </c>
      <c r="K5" s="19">
        <v>2</v>
      </c>
      <c r="L5" s="17"/>
      <c r="M5" s="17" t="s">
        <v>173</v>
      </c>
    </row>
    <row r="6" spans="2:13" ht="51" x14ac:dyDescent="0.25">
      <c r="B6" s="19" t="s">
        <v>643</v>
      </c>
      <c r="C6" s="60"/>
      <c r="D6" s="57" t="s">
        <v>6</v>
      </c>
      <c r="E6" s="18" t="s">
        <v>10</v>
      </c>
      <c r="F6" s="17">
        <v>1.1000000000000001</v>
      </c>
      <c r="G6" s="17" t="s">
        <v>618</v>
      </c>
      <c r="H6" s="17" t="s">
        <v>11</v>
      </c>
      <c r="I6" s="17" t="s">
        <v>9</v>
      </c>
      <c r="J6" s="17">
        <v>2</v>
      </c>
      <c r="K6" s="19">
        <v>2</v>
      </c>
      <c r="L6" s="17"/>
      <c r="M6" s="17" t="s">
        <v>173</v>
      </c>
    </row>
    <row r="7" spans="2:13" ht="51" x14ac:dyDescent="0.25">
      <c r="B7" s="19" t="s">
        <v>643</v>
      </c>
      <c r="C7" s="60"/>
      <c r="D7" s="57" t="s">
        <v>6</v>
      </c>
      <c r="E7" s="18" t="s">
        <v>12</v>
      </c>
      <c r="F7" s="17">
        <v>1.1000000000000001</v>
      </c>
      <c r="G7" s="17" t="s">
        <v>618</v>
      </c>
      <c r="H7" s="17" t="s">
        <v>13</v>
      </c>
      <c r="I7" s="17" t="s">
        <v>9</v>
      </c>
      <c r="J7" s="17">
        <v>2</v>
      </c>
      <c r="K7" s="19">
        <v>2</v>
      </c>
      <c r="L7" s="17" t="s">
        <v>174</v>
      </c>
      <c r="M7" s="17" t="s">
        <v>173</v>
      </c>
    </row>
    <row r="8" spans="2:13" ht="89.25" x14ac:dyDescent="0.25">
      <c r="B8" s="19" t="s">
        <v>643</v>
      </c>
      <c r="C8" s="60"/>
      <c r="D8" s="57" t="s">
        <v>6</v>
      </c>
      <c r="E8" s="18" t="s">
        <v>14</v>
      </c>
      <c r="F8" s="17">
        <v>1.2</v>
      </c>
      <c r="G8" s="17" t="s">
        <v>619</v>
      </c>
      <c r="H8" s="17" t="s">
        <v>15</v>
      </c>
      <c r="I8" s="17" t="s">
        <v>16</v>
      </c>
      <c r="J8" s="17">
        <v>3</v>
      </c>
      <c r="K8" s="19">
        <v>3</v>
      </c>
      <c r="L8" s="17" t="s">
        <v>175</v>
      </c>
      <c r="M8" s="17" t="s">
        <v>176</v>
      </c>
    </row>
    <row r="9" spans="2:13" ht="89.25" x14ac:dyDescent="0.25">
      <c r="B9" s="19" t="s">
        <v>643</v>
      </c>
      <c r="C9" s="60"/>
      <c r="D9" s="57" t="s">
        <v>6</v>
      </c>
      <c r="E9" s="18" t="s">
        <v>17</v>
      </c>
      <c r="F9" s="17">
        <v>1.2</v>
      </c>
      <c r="G9" s="17" t="s">
        <v>619</v>
      </c>
      <c r="H9" s="17" t="s">
        <v>18</v>
      </c>
      <c r="I9" s="17" t="s">
        <v>16</v>
      </c>
      <c r="J9" s="17">
        <v>3</v>
      </c>
      <c r="K9" s="19">
        <v>3</v>
      </c>
      <c r="L9" s="17" t="s">
        <v>175</v>
      </c>
      <c r="M9" s="17" t="s">
        <v>176</v>
      </c>
    </row>
    <row r="10" spans="2:13" ht="89.25" x14ac:dyDescent="0.25">
      <c r="B10" s="19" t="s">
        <v>643</v>
      </c>
      <c r="C10" s="60"/>
      <c r="D10" s="57" t="s">
        <v>6</v>
      </c>
      <c r="E10" s="18" t="s">
        <v>19</v>
      </c>
      <c r="F10" s="17">
        <v>1.2</v>
      </c>
      <c r="G10" s="17" t="s">
        <v>619</v>
      </c>
      <c r="H10" s="17" t="s">
        <v>20</v>
      </c>
      <c r="I10" s="17" t="s">
        <v>16</v>
      </c>
      <c r="J10" s="17">
        <v>3</v>
      </c>
      <c r="K10" s="19">
        <v>3</v>
      </c>
      <c r="L10" s="17" t="s">
        <v>175</v>
      </c>
      <c r="M10" s="17" t="s">
        <v>176</v>
      </c>
    </row>
    <row r="11" spans="2:13" ht="48" customHeight="1" x14ac:dyDescent="0.25">
      <c r="B11" s="19" t="s">
        <v>643</v>
      </c>
      <c r="C11" s="60"/>
      <c r="D11" s="57" t="s">
        <v>6</v>
      </c>
      <c r="E11" s="18" t="s">
        <v>21</v>
      </c>
      <c r="F11" s="17">
        <v>1.3</v>
      </c>
      <c r="G11" s="17" t="s">
        <v>620</v>
      </c>
      <c r="H11" s="17" t="s">
        <v>22</v>
      </c>
      <c r="I11" s="17" t="s">
        <v>23</v>
      </c>
      <c r="J11" s="17">
        <v>2</v>
      </c>
      <c r="K11" s="19">
        <v>2</v>
      </c>
      <c r="L11" s="17"/>
      <c r="M11" s="17" t="s">
        <v>176</v>
      </c>
    </row>
    <row r="12" spans="2:13" ht="75.75" customHeight="1" x14ac:dyDescent="0.25">
      <c r="B12" s="19" t="s">
        <v>643</v>
      </c>
      <c r="C12" s="60"/>
      <c r="D12" s="57" t="s">
        <v>6</v>
      </c>
      <c r="E12" s="18" t="s">
        <v>24</v>
      </c>
      <c r="F12" s="17">
        <v>1.4</v>
      </c>
      <c r="G12" s="17" t="s">
        <v>641</v>
      </c>
      <c r="H12" s="17" t="s">
        <v>25</v>
      </c>
      <c r="I12" s="17" t="s">
        <v>26</v>
      </c>
      <c r="J12" s="17">
        <v>2</v>
      </c>
      <c r="K12" s="19">
        <v>2</v>
      </c>
      <c r="L12" s="17"/>
      <c r="M12" s="17" t="s">
        <v>176</v>
      </c>
    </row>
    <row r="13" spans="2:13" ht="102" x14ac:dyDescent="0.25">
      <c r="B13" s="19" t="s">
        <v>643</v>
      </c>
      <c r="C13" s="60"/>
      <c r="D13" s="57" t="s">
        <v>6</v>
      </c>
      <c r="E13" s="18" t="s">
        <v>27</v>
      </c>
      <c r="F13" s="17">
        <v>1.5</v>
      </c>
      <c r="G13" s="17" t="s">
        <v>641</v>
      </c>
      <c r="H13" s="17" t="s">
        <v>28</v>
      </c>
      <c r="I13" s="17" t="s">
        <v>29</v>
      </c>
      <c r="J13" s="17">
        <v>3</v>
      </c>
      <c r="K13" s="19">
        <v>3</v>
      </c>
      <c r="L13" s="17" t="s">
        <v>177</v>
      </c>
      <c r="M13" s="17" t="s">
        <v>178</v>
      </c>
    </row>
    <row r="14" spans="2:13" ht="102" x14ac:dyDescent="0.25">
      <c r="B14" s="19" t="s">
        <v>643</v>
      </c>
      <c r="C14" s="60"/>
      <c r="D14" s="57" t="s">
        <v>6</v>
      </c>
      <c r="E14" s="18" t="s">
        <v>30</v>
      </c>
      <c r="F14" s="17">
        <v>1.5</v>
      </c>
      <c r="G14" s="17" t="s">
        <v>641</v>
      </c>
      <c r="H14" s="17" t="s">
        <v>31</v>
      </c>
      <c r="I14" s="17" t="s">
        <v>29</v>
      </c>
      <c r="J14" s="17">
        <v>3</v>
      </c>
      <c r="K14" s="19">
        <v>3</v>
      </c>
      <c r="L14" s="17" t="s">
        <v>177</v>
      </c>
      <c r="M14" s="17" t="s">
        <v>178</v>
      </c>
    </row>
    <row r="15" spans="2:13" ht="102" x14ac:dyDescent="0.25">
      <c r="B15" s="19" t="s">
        <v>643</v>
      </c>
      <c r="C15" s="60"/>
      <c r="D15" s="57" t="s">
        <v>6</v>
      </c>
      <c r="E15" s="18" t="s">
        <v>32</v>
      </c>
      <c r="F15" s="17">
        <v>1.5</v>
      </c>
      <c r="G15" s="17" t="s">
        <v>621</v>
      </c>
      <c r="H15" s="17" t="s">
        <v>33</v>
      </c>
      <c r="I15" s="17" t="s">
        <v>29</v>
      </c>
      <c r="J15" s="17">
        <v>3</v>
      </c>
      <c r="K15" s="19">
        <v>3</v>
      </c>
      <c r="L15" s="17" t="s">
        <v>177</v>
      </c>
      <c r="M15" s="17" t="s">
        <v>178</v>
      </c>
    </row>
    <row r="16" spans="2:13" ht="76.5" x14ac:dyDescent="0.25">
      <c r="B16" s="19" t="s">
        <v>643</v>
      </c>
      <c r="C16" s="60"/>
      <c r="D16" s="57" t="s">
        <v>6</v>
      </c>
      <c r="E16" s="18" t="s">
        <v>34</v>
      </c>
      <c r="F16" s="17">
        <v>1.6</v>
      </c>
      <c r="G16" s="17" t="s">
        <v>622</v>
      </c>
      <c r="H16" s="17" t="s">
        <v>35</v>
      </c>
      <c r="I16" s="17" t="s">
        <v>36</v>
      </c>
      <c r="J16" s="17">
        <v>3</v>
      </c>
      <c r="K16" s="19">
        <v>3</v>
      </c>
      <c r="L16" s="17" t="s">
        <v>179</v>
      </c>
      <c r="M16" s="17" t="s">
        <v>180</v>
      </c>
    </row>
    <row r="17" spans="2:13" ht="76.5" x14ac:dyDescent="0.25">
      <c r="B17" s="19" t="s">
        <v>643</v>
      </c>
      <c r="C17" s="60"/>
      <c r="D17" s="57" t="s">
        <v>6</v>
      </c>
      <c r="E17" s="18" t="s">
        <v>37</v>
      </c>
      <c r="F17" s="17">
        <v>1.6</v>
      </c>
      <c r="G17" s="17" t="s">
        <v>622</v>
      </c>
      <c r="H17" s="17" t="s">
        <v>38</v>
      </c>
      <c r="I17" s="17" t="s">
        <v>36</v>
      </c>
      <c r="J17" s="17">
        <v>3</v>
      </c>
      <c r="K17" s="19">
        <v>3</v>
      </c>
      <c r="L17" s="17" t="s">
        <v>179</v>
      </c>
      <c r="M17" s="17" t="s">
        <v>180</v>
      </c>
    </row>
    <row r="18" spans="2:13" ht="76.5" x14ac:dyDescent="0.25">
      <c r="B18" s="19" t="s">
        <v>643</v>
      </c>
      <c r="C18" s="60"/>
      <c r="D18" s="57" t="s">
        <v>6</v>
      </c>
      <c r="E18" s="18" t="s">
        <v>39</v>
      </c>
      <c r="F18" s="17">
        <v>1.6</v>
      </c>
      <c r="G18" s="17" t="s">
        <v>622</v>
      </c>
      <c r="H18" s="17" t="s">
        <v>40</v>
      </c>
      <c r="I18" s="17" t="s">
        <v>36</v>
      </c>
      <c r="J18" s="17">
        <v>3</v>
      </c>
      <c r="K18" s="19">
        <v>3</v>
      </c>
      <c r="L18" s="17" t="s">
        <v>179</v>
      </c>
      <c r="M18" s="17" t="s">
        <v>180</v>
      </c>
    </row>
    <row r="19" spans="2:13" ht="102" customHeight="1" x14ac:dyDescent="0.25">
      <c r="B19" s="19" t="s">
        <v>643</v>
      </c>
      <c r="C19" s="60"/>
      <c r="D19" s="57" t="s">
        <v>6</v>
      </c>
      <c r="E19" s="18" t="s">
        <v>41</v>
      </c>
      <c r="F19" s="17">
        <v>1.7</v>
      </c>
      <c r="G19" s="17" t="s">
        <v>623</v>
      </c>
      <c r="H19" s="17" t="s">
        <v>42</v>
      </c>
      <c r="I19" s="17" t="s">
        <v>43</v>
      </c>
      <c r="J19" s="17">
        <v>3</v>
      </c>
      <c r="K19" s="19">
        <v>3</v>
      </c>
      <c r="L19" s="17" t="s">
        <v>181</v>
      </c>
      <c r="M19" s="17" t="s">
        <v>182</v>
      </c>
    </row>
    <row r="20" spans="2:13" ht="102.75" customHeight="1" x14ac:dyDescent="0.25">
      <c r="B20" s="19" t="s">
        <v>643</v>
      </c>
      <c r="C20" s="60"/>
      <c r="D20" s="57" t="s">
        <v>6</v>
      </c>
      <c r="E20" s="18" t="s">
        <v>44</v>
      </c>
      <c r="F20" s="17">
        <v>1.7</v>
      </c>
      <c r="G20" s="17" t="s">
        <v>623</v>
      </c>
      <c r="H20" s="17" t="s">
        <v>45</v>
      </c>
      <c r="I20" s="17" t="s">
        <v>43</v>
      </c>
      <c r="J20" s="17">
        <v>3</v>
      </c>
      <c r="K20" s="19">
        <v>3</v>
      </c>
      <c r="L20" s="17" t="s">
        <v>181</v>
      </c>
      <c r="M20" s="17" t="s">
        <v>182</v>
      </c>
    </row>
    <row r="21" spans="2:13" ht="102" customHeight="1" x14ac:dyDescent="0.25">
      <c r="B21" s="19" t="s">
        <v>643</v>
      </c>
      <c r="C21" s="60"/>
      <c r="D21" s="57" t="s">
        <v>6</v>
      </c>
      <c r="E21" s="18" t="s">
        <v>46</v>
      </c>
      <c r="F21" s="17">
        <v>1.7</v>
      </c>
      <c r="G21" s="17" t="s">
        <v>623</v>
      </c>
      <c r="H21" s="17" t="s">
        <v>47</v>
      </c>
      <c r="I21" s="17" t="s">
        <v>43</v>
      </c>
      <c r="J21" s="17">
        <v>3</v>
      </c>
      <c r="K21" s="19">
        <v>3</v>
      </c>
      <c r="L21" s="17" t="s">
        <v>181</v>
      </c>
      <c r="M21" s="17" t="s">
        <v>182</v>
      </c>
    </row>
    <row r="22" spans="2:13" ht="179.25" customHeight="1" x14ac:dyDescent="0.25">
      <c r="B22" s="19" t="s">
        <v>643</v>
      </c>
      <c r="C22" s="60"/>
      <c r="D22" s="57" t="s">
        <v>6</v>
      </c>
      <c r="E22" s="18" t="s">
        <v>48</v>
      </c>
      <c r="F22" s="17">
        <v>1.8</v>
      </c>
      <c r="G22" s="17" t="s">
        <v>624</v>
      </c>
      <c r="H22" s="17" t="s">
        <v>49</v>
      </c>
      <c r="I22" s="17" t="s">
        <v>50</v>
      </c>
      <c r="J22" s="17">
        <v>2</v>
      </c>
      <c r="K22" s="19">
        <v>2</v>
      </c>
      <c r="L22" s="17" t="s">
        <v>183</v>
      </c>
      <c r="M22" s="17" t="s">
        <v>182</v>
      </c>
    </row>
    <row r="23" spans="2:13" ht="63" customHeight="1" x14ac:dyDescent="0.25">
      <c r="B23" s="19" t="s">
        <v>643</v>
      </c>
      <c r="C23" s="60"/>
      <c r="D23" s="57" t="s">
        <v>6</v>
      </c>
      <c r="E23" s="18" t="s">
        <v>51</v>
      </c>
      <c r="F23" s="17">
        <v>1.8</v>
      </c>
      <c r="G23" s="17" t="s">
        <v>624</v>
      </c>
      <c r="H23" s="17" t="s">
        <v>52</v>
      </c>
      <c r="I23" s="17" t="s">
        <v>53</v>
      </c>
      <c r="J23" s="17">
        <v>6</v>
      </c>
      <c r="K23" s="19">
        <v>6</v>
      </c>
      <c r="L23" s="17" t="s">
        <v>604</v>
      </c>
      <c r="M23" s="17" t="s">
        <v>184</v>
      </c>
    </row>
    <row r="24" spans="2:13" ht="51" customHeight="1" x14ac:dyDescent="0.25">
      <c r="B24" s="19" t="s">
        <v>643</v>
      </c>
      <c r="C24" s="60"/>
      <c r="D24" s="57" t="s">
        <v>6</v>
      </c>
      <c r="E24" s="18" t="s">
        <v>54</v>
      </c>
      <c r="F24" s="17">
        <v>1.8</v>
      </c>
      <c r="G24" s="17" t="s">
        <v>624</v>
      </c>
      <c r="H24" s="17" t="s">
        <v>55</v>
      </c>
      <c r="I24" s="17" t="s">
        <v>56</v>
      </c>
      <c r="J24" s="17">
        <v>2</v>
      </c>
      <c r="K24" s="19">
        <v>2</v>
      </c>
      <c r="L24" s="17" t="s">
        <v>309</v>
      </c>
      <c r="M24" s="20"/>
    </row>
    <row r="25" spans="2:13" ht="60.75" customHeight="1" x14ac:dyDescent="0.25">
      <c r="B25" s="19" t="s">
        <v>643</v>
      </c>
      <c r="C25" s="60"/>
      <c r="D25" s="57" t="s">
        <v>6</v>
      </c>
      <c r="E25" s="18" t="s">
        <v>57</v>
      </c>
      <c r="F25" s="17">
        <v>1.9</v>
      </c>
      <c r="G25" s="17" t="s">
        <v>58</v>
      </c>
      <c r="H25" s="17" t="s">
        <v>59</v>
      </c>
      <c r="I25" s="17" t="s">
        <v>60</v>
      </c>
      <c r="J25" s="17">
        <v>2</v>
      </c>
      <c r="K25" s="19">
        <v>2</v>
      </c>
      <c r="L25" s="17" t="s">
        <v>310</v>
      </c>
      <c r="M25" s="20"/>
    </row>
    <row r="26" spans="2:13" ht="114.75" customHeight="1" x14ac:dyDescent="0.25">
      <c r="B26" s="19" t="s">
        <v>643</v>
      </c>
      <c r="C26" s="60"/>
      <c r="D26" s="57" t="s">
        <v>6</v>
      </c>
      <c r="E26" s="18" t="s">
        <v>61</v>
      </c>
      <c r="F26" s="17">
        <v>1.9</v>
      </c>
      <c r="G26" s="17" t="s">
        <v>58</v>
      </c>
      <c r="H26" s="17" t="s">
        <v>62</v>
      </c>
      <c r="I26" s="17" t="s">
        <v>63</v>
      </c>
      <c r="J26" s="17">
        <v>1</v>
      </c>
      <c r="K26" s="19">
        <v>1</v>
      </c>
      <c r="L26" s="17" t="s">
        <v>311</v>
      </c>
      <c r="M26" s="21" t="s">
        <v>312</v>
      </c>
    </row>
    <row r="27" spans="2:13" ht="65.25" customHeight="1" x14ac:dyDescent="0.25">
      <c r="B27" s="19" t="s">
        <v>643</v>
      </c>
      <c r="C27" s="60"/>
      <c r="D27" s="57" t="s">
        <v>6</v>
      </c>
      <c r="E27" s="18" t="s">
        <v>64</v>
      </c>
      <c r="F27" s="17">
        <v>1.9</v>
      </c>
      <c r="G27" s="17" t="s">
        <v>58</v>
      </c>
      <c r="H27" s="17" t="s">
        <v>65</v>
      </c>
      <c r="I27" s="17" t="s">
        <v>66</v>
      </c>
      <c r="J27" s="17">
        <v>2</v>
      </c>
      <c r="K27" s="19">
        <v>2</v>
      </c>
      <c r="L27" s="17" t="s">
        <v>313</v>
      </c>
      <c r="M27" s="21" t="s">
        <v>312</v>
      </c>
    </row>
    <row r="28" spans="2:13" ht="76.5" x14ac:dyDescent="0.25">
      <c r="B28" s="19" t="s">
        <v>643</v>
      </c>
      <c r="C28" s="61"/>
      <c r="D28" s="57" t="s">
        <v>67</v>
      </c>
      <c r="E28" s="18" t="s">
        <v>68</v>
      </c>
      <c r="F28" s="17">
        <v>2.1</v>
      </c>
      <c r="G28" s="17" t="s">
        <v>642</v>
      </c>
      <c r="H28" s="17" t="s">
        <v>69</v>
      </c>
      <c r="I28" s="17" t="s">
        <v>70</v>
      </c>
      <c r="J28" s="17">
        <v>2</v>
      </c>
      <c r="K28" s="19">
        <v>2</v>
      </c>
      <c r="L28" s="17"/>
      <c r="M28" s="20" t="s">
        <v>412</v>
      </c>
    </row>
    <row r="29" spans="2:13" ht="90" customHeight="1" x14ac:dyDescent="0.25">
      <c r="B29" s="19" t="s">
        <v>643</v>
      </c>
      <c r="C29" s="61"/>
      <c r="D29" s="57" t="s">
        <v>71</v>
      </c>
      <c r="E29" s="18" t="s">
        <v>72</v>
      </c>
      <c r="F29" s="17">
        <v>2.2000000000000002</v>
      </c>
      <c r="G29" s="17" t="s">
        <v>73</v>
      </c>
      <c r="H29" s="17" t="s">
        <v>74</v>
      </c>
      <c r="I29" s="17" t="s">
        <v>75</v>
      </c>
      <c r="J29" s="17">
        <v>3</v>
      </c>
      <c r="K29" s="19">
        <v>2</v>
      </c>
      <c r="L29" s="17" t="s">
        <v>414</v>
      </c>
      <c r="M29" s="21" t="s">
        <v>407</v>
      </c>
    </row>
    <row r="30" spans="2:13" ht="102.75" customHeight="1" x14ac:dyDescent="0.25">
      <c r="B30" s="19" t="s">
        <v>643</v>
      </c>
      <c r="C30" s="61"/>
      <c r="D30" s="57" t="s">
        <v>71</v>
      </c>
      <c r="E30" s="18" t="s">
        <v>76</v>
      </c>
      <c r="F30" s="17">
        <v>2.2999999999999998</v>
      </c>
      <c r="G30" s="17" t="s">
        <v>77</v>
      </c>
      <c r="H30" s="17" t="s">
        <v>78</v>
      </c>
      <c r="I30" s="17" t="s">
        <v>75</v>
      </c>
      <c r="J30" s="17">
        <v>3</v>
      </c>
      <c r="K30" s="22">
        <v>2</v>
      </c>
      <c r="L30" s="23" t="s">
        <v>415</v>
      </c>
      <c r="M30" s="21" t="s">
        <v>407</v>
      </c>
    </row>
    <row r="31" spans="2:13" ht="90" customHeight="1" x14ac:dyDescent="0.25">
      <c r="B31" s="19" t="s">
        <v>643</v>
      </c>
      <c r="C31" s="61"/>
      <c r="D31" s="57" t="s">
        <v>71</v>
      </c>
      <c r="E31" s="18" t="s">
        <v>79</v>
      </c>
      <c r="F31" s="17">
        <v>2.4</v>
      </c>
      <c r="G31" s="17" t="s">
        <v>80</v>
      </c>
      <c r="H31" s="17" t="s">
        <v>81</v>
      </c>
      <c r="I31" s="17" t="s">
        <v>75</v>
      </c>
      <c r="J31" s="17">
        <v>3</v>
      </c>
      <c r="K31" s="19">
        <v>3</v>
      </c>
      <c r="L31" s="17" t="s">
        <v>224</v>
      </c>
      <c r="M31" s="21" t="s">
        <v>407</v>
      </c>
    </row>
    <row r="32" spans="2:13" ht="36" customHeight="1" x14ac:dyDescent="0.25">
      <c r="B32" s="19" t="s">
        <v>643</v>
      </c>
      <c r="C32" s="61"/>
      <c r="D32" s="57" t="s">
        <v>67</v>
      </c>
      <c r="E32" s="18" t="s">
        <v>82</v>
      </c>
      <c r="F32" s="17">
        <v>2.5</v>
      </c>
      <c r="G32" s="17" t="s">
        <v>83</v>
      </c>
      <c r="H32" s="17" t="s">
        <v>84</v>
      </c>
      <c r="I32" s="17" t="s">
        <v>85</v>
      </c>
      <c r="J32" s="17">
        <v>1</v>
      </c>
      <c r="K32" s="19">
        <v>1</v>
      </c>
      <c r="L32" s="17" t="s">
        <v>409</v>
      </c>
      <c r="M32" s="21" t="s">
        <v>407</v>
      </c>
    </row>
    <row r="33" spans="2:13" ht="51.75" customHeight="1" x14ac:dyDescent="0.25">
      <c r="B33" s="19" t="s">
        <v>643</v>
      </c>
      <c r="C33" s="61"/>
      <c r="D33" s="57" t="s">
        <v>67</v>
      </c>
      <c r="E33" s="18" t="s">
        <v>86</v>
      </c>
      <c r="F33" s="17">
        <v>2.6</v>
      </c>
      <c r="G33" s="17" t="s">
        <v>625</v>
      </c>
      <c r="H33" s="17" t="s">
        <v>87</v>
      </c>
      <c r="I33" s="17" t="s">
        <v>88</v>
      </c>
      <c r="J33" s="17">
        <v>2</v>
      </c>
      <c r="K33" s="19">
        <v>2</v>
      </c>
      <c r="L33" s="17" t="s">
        <v>406</v>
      </c>
      <c r="M33" s="21" t="s">
        <v>407</v>
      </c>
    </row>
    <row r="34" spans="2:13" ht="63.75" customHeight="1" x14ac:dyDescent="0.25">
      <c r="B34" s="19" t="s">
        <v>643</v>
      </c>
      <c r="C34" s="61"/>
      <c r="D34" s="57" t="s">
        <v>67</v>
      </c>
      <c r="E34" s="18" t="s">
        <v>89</v>
      </c>
      <c r="F34" s="17">
        <v>2.6</v>
      </c>
      <c r="G34" s="17" t="s">
        <v>625</v>
      </c>
      <c r="H34" s="17" t="s">
        <v>90</v>
      </c>
      <c r="I34" s="17" t="s">
        <v>91</v>
      </c>
      <c r="J34" s="17">
        <v>1</v>
      </c>
      <c r="K34" s="19"/>
      <c r="L34" s="17"/>
      <c r="M34" s="21"/>
    </row>
    <row r="35" spans="2:13" ht="36" customHeight="1" x14ac:dyDescent="0.25">
      <c r="B35" s="19" t="s">
        <v>643</v>
      </c>
      <c r="C35" s="61"/>
      <c r="D35" s="57" t="s">
        <v>92</v>
      </c>
      <c r="E35" s="18" t="s">
        <v>93</v>
      </c>
      <c r="F35" s="17">
        <v>2.7</v>
      </c>
      <c r="G35" s="17" t="s">
        <v>626</v>
      </c>
      <c r="H35" s="17" t="s">
        <v>94</v>
      </c>
      <c r="I35" s="17" t="s">
        <v>85</v>
      </c>
      <c r="J35" s="17">
        <v>1</v>
      </c>
      <c r="K35" s="22">
        <v>0</v>
      </c>
      <c r="L35" s="23" t="s">
        <v>410</v>
      </c>
      <c r="M35" s="21" t="s">
        <v>407</v>
      </c>
    </row>
    <row r="36" spans="2:13" ht="115.5" customHeight="1" x14ac:dyDescent="0.25">
      <c r="B36" s="19" t="s">
        <v>643</v>
      </c>
      <c r="C36" s="61"/>
      <c r="D36" s="57" t="s">
        <v>92</v>
      </c>
      <c r="E36" s="18" t="s">
        <v>95</v>
      </c>
      <c r="F36" s="17">
        <v>2.8</v>
      </c>
      <c r="G36" s="17" t="s">
        <v>96</v>
      </c>
      <c r="H36" s="17" t="s">
        <v>97</v>
      </c>
      <c r="I36" s="17" t="s">
        <v>98</v>
      </c>
      <c r="J36" s="17">
        <v>3</v>
      </c>
      <c r="K36" s="19">
        <v>3</v>
      </c>
      <c r="L36" s="17" t="s">
        <v>413</v>
      </c>
      <c r="M36" s="21" t="s">
        <v>416</v>
      </c>
    </row>
    <row r="37" spans="2:13" ht="51" customHeight="1" x14ac:dyDescent="0.25">
      <c r="B37" s="19" t="s">
        <v>643</v>
      </c>
      <c r="C37" s="61"/>
      <c r="D37" s="57" t="s">
        <v>92</v>
      </c>
      <c r="E37" s="18" t="s">
        <v>99</v>
      </c>
      <c r="F37" s="17">
        <v>2.9</v>
      </c>
      <c r="G37" s="17" t="s">
        <v>100</v>
      </c>
      <c r="H37" s="17" t="s">
        <v>101</v>
      </c>
      <c r="I37" s="17" t="s">
        <v>85</v>
      </c>
      <c r="J37" s="17">
        <v>1</v>
      </c>
      <c r="K37" s="24" t="s">
        <v>246</v>
      </c>
      <c r="L37" s="17" t="s">
        <v>411</v>
      </c>
      <c r="M37" s="21" t="s">
        <v>407</v>
      </c>
    </row>
    <row r="38" spans="2:13" ht="36" customHeight="1" x14ac:dyDescent="0.25">
      <c r="B38" s="19" t="s">
        <v>643</v>
      </c>
      <c r="C38" s="61"/>
      <c r="D38" s="57" t="s">
        <v>92</v>
      </c>
      <c r="E38" s="18" t="s">
        <v>102</v>
      </c>
      <c r="F38" s="17">
        <v>2.9</v>
      </c>
      <c r="G38" s="17" t="s">
        <v>100</v>
      </c>
      <c r="H38" s="17" t="s">
        <v>103</v>
      </c>
      <c r="I38" s="17" t="s">
        <v>85</v>
      </c>
      <c r="J38" s="17">
        <v>1</v>
      </c>
      <c r="K38" s="24" t="s">
        <v>246</v>
      </c>
      <c r="L38" s="17" t="s">
        <v>411</v>
      </c>
      <c r="M38" s="21" t="s">
        <v>407</v>
      </c>
    </row>
    <row r="39" spans="2:13" ht="50.25" customHeight="1" x14ac:dyDescent="0.25">
      <c r="B39" s="19" t="s">
        <v>643</v>
      </c>
      <c r="C39" s="61"/>
      <c r="D39" s="57" t="s">
        <v>92</v>
      </c>
      <c r="E39" s="18" t="s">
        <v>104</v>
      </c>
      <c r="F39" s="17">
        <v>2.9</v>
      </c>
      <c r="G39" s="17" t="s">
        <v>100</v>
      </c>
      <c r="H39" s="17" t="s">
        <v>105</v>
      </c>
      <c r="I39" s="17" t="s">
        <v>85</v>
      </c>
      <c r="J39" s="17">
        <v>1</v>
      </c>
      <c r="K39" s="24" t="s">
        <v>246</v>
      </c>
      <c r="L39" s="17" t="s">
        <v>411</v>
      </c>
      <c r="M39" s="21" t="s">
        <v>407</v>
      </c>
    </row>
    <row r="40" spans="2:13" ht="42" customHeight="1" x14ac:dyDescent="0.25">
      <c r="B40" s="19" t="s">
        <v>643</v>
      </c>
      <c r="C40" s="62"/>
      <c r="D40" s="57" t="s">
        <v>106</v>
      </c>
      <c r="E40" s="18" t="s">
        <v>107</v>
      </c>
      <c r="F40" s="17">
        <v>3.1</v>
      </c>
      <c r="G40" s="17" t="s">
        <v>108</v>
      </c>
      <c r="H40" s="17" t="s">
        <v>109</v>
      </c>
      <c r="I40" s="17" t="s">
        <v>110</v>
      </c>
      <c r="J40" s="17">
        <v>1</v>
      </c>
      <c r="K40" s="25">
        <v>0</v>
      </c>
      <c r="L40" s="26" t="s">
        <v>458</v>
      </c>
      <c r="M40" s="21" t="s">
        <v>426</v>
      </c>
    </row>
    <row r="41" spans="2:13" ht="102" customHeight="1" x14ac:dyDescent="0.25">
      <c r="B41" s="19" t="s">
        <v>643</v>
      </c>
      <c r="C41" s="62"/>
      <c r="D41" s="57" t="s">
        <v>111</v>
      </c>
      <c r="E41" s="18" t="s">
        <v>112</v>
      </c>
      <c r="F41" s="17">
        <v>3.2</v>
      </c>
      <c r="G41" s="17" t="s">
        <v>113</v>
      </c>
      <c r="H41" s="17" t="s">
        <v>114</v>
      </c>
      <c r="I41" s="17" t="s">
        <v>115</v>
      </c>
      <c r="J41" s="17">
        <v>1</v>
      </c>
      <c r="K41" s="19">
        <v>1</v>
      </c>
      <c r="L41" s="17" t="s">
        <v>459</v>
      </c>
      <c r="M41" s="21" t="s">
        <v>460</v>
      </c>
    </row>
    <row r="42" spans="2:13" ht="105" customHeight="1" x14ac:dyDescent="0.25">
      <c r="B42" s="19" t="s">
        <v>643</v>
      </c>
      <c r="C42" s="62"/>
      <c r="D42" s="57" t="s">
        <v>111</v>
      </c>
      <c r="E42" s="18" t="s">
        <v>116</v>
      </c>
      <c r="F42" s="17">
        <v>3.2</v>
      </c>
      <c r="G42" s="17" t="s">
        <v>113</v>
      </c>
      <c r="H42" s="17" t="s">
        <v>117</v>
      </c>
      <c r="I42" s="17" t="s">
        <v>115</v>
      </c>
      <c r="J42" s="17">
        <v>1</v>
      </c>
      <c r="K42" s="19">
        <v>1</v>
      </c>
      <c r="L42" s="17" t="s">
        <v>459</v>
      </c>
      <c r="M42" s="21" t="s">
        <v>460</v>
      </c>
    </row>
    <row r="43" spans="2:13" ht="104.25" customHeight="1" x14ac:dyDescent="0.25">
      <c r="B43" s="19" t="s">
        <v>643</v>
      </c>
      <c r="C43" s="62"/>
      <c r="D43" s="57" t="s">
        <v>111</v>
      </c>
      <c r="E43" s="18" t="s">
        <v>118</v>
      </c>
      <c r="F43" s="17">
        <v>3.2</v>
      </c>
      <c r="G43" s="17" t="s">
        <v>113</v>
      </c>
      <c r="H43" s="17" t="s">
        <v>119</v>
      </c>
      <c r="I43" s="17" t="s">
        <v>115</v>
      </c>
      <c r="J43" s="17">
        <v>1</v>
      </c>
      <c r="K43" s="19">
        <v>1</v>
      </c>
      <c r="L43" s="17" t="s">
        <v>459</v>
      </c>
      <c r="M43" s="21" t="s">
        <v>460</v>
      </c>
    </row>
    <row r="44" spans="2:13" ht="90.75" customHeight="1" x14ac:dyDescent="0.25">
      <c r="B44" s="19" t="s">
        <v>643</v>
      </c>
      <c r="C44" s="62"/>
      <c r="D44" s="57" t="s">
        <v>111</v>
      </c>
      <c r="E44" s="18" t="s">
        <v>120</v>
      </c>
      <c r="F44" s="17">
        <v>3.3</v>
      </c>
      <c r="G44" s="17" t="s">
        <v>627</v>
      </c>
      <c r="H44" s="17" t="s">
        <v>121</v>
      </c>
      <c r="I44" s="17" t="s">
        <v>122</v>
      </c>
      <c r="J44" s="17">
        <v>1</v>
      </c>
      <c r="K44" s="19">
        <v>1</v>
      </c>
      <c r="L44" s="17" t="s">
        <v>461</v>
      </c>
      <c r="M44" s="21" t="s">
        <v>462</v>
      </c>
    </row>
    <row r="45" spans="2:13" ht="66" customHeight="1" x14ac:dyDescent="0.25">
      <c r="B45" s="19" t="s">
        <v>643</v>
      </c>
      <c r="C45" s="62"/>
      <c r="D45" s="57" t="s">
        <v>111</v>
      </c>
      <c r="E45" s="18" t="s">
        <v>123</v>
      </c>
      <c r="F45" s="17">
        <v>3.4</v>
      </c>
      <c r="G45" s="17" t="s">
        <v>628</v>
      </c>
      <c r="H45" s="17" t="s">
        <v>124</v>
      </c>
      <c r="I45" s="17" t="s">
        <v>115</v>
      </c>
      <c r="J45" s="17">
        <v>1</v>
      </c>
      <c r="K45" s="19">
        <v>1</v>
      </c>
      <c r="L45" s="17" t="s">
        <v>463</v>
      </c>
      <c r="M45" s="21" t="s">
        <v>464</v>
      </c>
    </row>
    <row r="46" spans="2:13" ht="76.5" x14ac:dyDescent="0.25">
      <c r="B46" s="19" t="s">
        <v>643</v>
      </c>
      <c r="C46" s="62"/>
      <c r="D46" s="57" t="s">
        <v>125</v>
      </c>
      <c r="E46" s="18" t="s">
        <v>126</v>
      </c>
      <c r="F46" s="17">
        <v>3.5</v>
      </c>
      <c r="G46" s="17" t="s">
        <v>127</v>
      </c>
      <c r="H46" s="17" t="s">
        <v>128</v>
      </c>
      <c r="I46" s="17" t="s">
        <v>129</v>
      </c>
      <c r="J46" s="17">
        <v>1</v>
      </c>
      <c r="K46" s="19">
        <v>1</v>
      </c>
      <c r="L46" s="17" t="s">
        <v>465</v>
      </c>
      <c r="M46" s="20" t="s">
        <v>412</v>
      </c>
    </row>
    <row r="47" spans="2:13" ht="52.5" customHeight="1" x14ac:dyDescent="0.25">
      <c r="B47" s="19" t="s">
        <v>643</v>
      </c>
      <c r="C47" s="62"/>
      <c r="D47" s="57" t="s">
        <v>130</v>
      </c>
      <c r="E47" s="18" t="s">
        <v>131</v>
      </c>
      <c r="F47" s="17">
        <v>3.6</v>
      </c>
      <c r="G47" s="17" t="s">
        <v>255</v>
      </c>
      <c r="H47" s="17" t="s">
        <v>132</v>
      </c>
      <c r="I47" s="17" t="s">
        <v>115</v>
      </c>
      <c r="J47" s="17">
        <v>1</v>
      </c>
      <c r="K47" s="19">
        <v>1</v>
      </c>
      <c r="L47" s="17" t="s">
        <v>466</v>
      </c>
      <c r="M47" s="21" t="s">
        <v>467</v>
      </c>
    </row>
    <row r="48" spans="2:13" ht="49.5" customHeight="1" x14ac:dyDescent="0.25">
      <c r="B48" s="19" t="s">
        <v>643</v>
      </c>
      <c r="C48" s="62"/>
      <c r="D48" s="57" t="s">
        <v>130</v>
      </c>
      <c r="E48" s="18" t="s">
        <v>133</v>
      </c>
      <c r="F48" s="17">
        <v>3.7</v>
      </c>
      <c r="G48" s="17" t="s">
        <v>260</v>
      </c>
      <c r="H48" s="17" t="s">
        <v>134</v>
      </c>
      <c r="I48" s="17" t="s">
        <v>135</v>
      </c>
      <c r="J48" s="17">
        <v>1</v>
      </c>
      <c r="K48" s="19">
        <v>1</v>
      </c>
      <c r="L48" s="17" t="s">
        <v>468</v>
      </c>
      <c r="M48" s="21" t="s">
        <v>469</v>
      </c>
    </row>
    <row r="49" spans="2:19" ht="44.25" customHeight="1" x14ac:dyDescent="0.25">
      <c r="B49" s="19" t="s">
        <v>643</v>
      </c>
      <c r="C49" s="63"/>
      <c r="D49" s="57" t="s">
        <v>136</v>
      </c>
      <c r="E49" s="18" t="s">
        <v>137</v>
      </c>
      <c r="F49" s="17">
        <v>4.0999999999999996</v>
      </c>
      <c r="G49" s="17" t="s">
        <v>629</v>
      </c>
      <c r="H49" s="17" t="s">
        <v>138</v>
      </c>
      <c r="I49" s="17" t="s">
        <v>85</v>
      </c>
      <c r="J49" s="17">
        <v>1</v>
      </c>
      <c r="K49" s="19">
        <v>0.5</v>
      </c>
      <c r="L49" s="17" t="s">
        <v>522</v>
      </c>
      <c r="M49" s="21" t="s">
        <v>523</v>
      </c>
    </row>
    <row r="50" spans="2:19" ht="51" x14ac:dyDescent="0.25">
      <c r="B50" s="19" t="s">
        <v>643</v>
      </c>
      <c r="C50" s="63"/>
      <c r="D50" s="57" t="s">
        <v>139</v>
      </c>
      <c r="E50" s="18" t="s">
        <v>140</v>
      </c>
      <c r="F50" s="17">
        <v>4.2</v>
      </c>
      <c r="G50" s="17" t="s">
        <v>630</v>
      </c>
      <c r="H50" s="17" t="s">
        <v>141</v>
      </c>
      <c r="I50" s="17" t="s">
        <v>142</v>
      </c>
      <c r="J50" s="17">
        <v>2</v>
      </c>
      <c r="K50" s="19">
        <v>0</v>
      </c>
      <c r="L50" s="17"/>
      <c r="M50" s="17" t="s">
        <v>526</v>
      </c>
    </row>
    <row r="51" spans="2:19" ht="51.75" customHeight="1" x14ac:dyDescent="0.25">
      <c r="B51" s="19" t="s">
        <v>643</v>
      </c>
      <c r="C51" s="63"/>
      <c r="D51" s="57" t="s">
        <v>139</v>
      </c>
      <c r="E51" s="18" t="s">
        <v>143</v>
      </c>
      <c r="F51" s="17">
        <v>4.3</v>
      </c>
      <c r="G51" s="17" t="s">
        <v>631</v>
      </c>
      <c r="H51" s="17" t="s">
        <v>144</v>
      </c>
      <c r="I51" s="17" t="s">
        <v>142</v>
      </c>
      <c r="J51" s="17">
        <v>2</v>
      </c>
      <c r="K51" s="19">
        <v>0</v>
      </c>
      <c r="L51" s="17"/>
      <c r="M51" s="17" t="s">
        <v>526</v>
      </c>
      <c r="S51" s="12"/>
    </row>
    <row r="52" spans="2:19" ht="129" customHeight="1" x14ac:dyDescent="0.25">
      <c r="B52" s="19" t="s">
        <v>643</v>
      </c>
      <c r="C52" s="63"/>
      <c r="D52" s="57" t="s">
        <v>139</v>
      </c>
      <c r="E52" s="18" t="s">
        <v>145</v>
      </c>
      <c r="F52" s="17">
        <v>4.4000000000000004</v>
      </c>
      <c r="G52" s="17" t="s">
        <v>632</v>
      </c>
      <c r="H52" s="17" t="s">
        <v>146</v>
      </c>
      <c r="I52" s="17" t="s">
        <v>147</v>
      </c>
      <c r="J52" s="17">
        <v>7</v>
      </c>
      <c r="K52" s="19">
        <v>3</v>
      </c>
      <c r="L52" s="17"/>
      <c r="M52" s="21" t="s">
        <v>524</v>
      </c>
    </row>
    <row r="53" spans="2:19" ht="51.75" customHeight="1" x14ac:dyDescent="0.25">
      <c r="B53" s="19" t="s">
        <v>643</v>
      </c>
      <c r="C53" s="63"/>
      <c r="D53" s="57" t="s">
        <v>148</v>
      </c>
      <c r="E53" s="18" t="s">
        <v>149</v>
      </c>
      <c r="F53" s="17">
        <v>4.5</v>
      </c>
      <c r="G53" s="17" t="s">
        <v>633</v>
      </c>
      <c r="H53" s="17" t="s">
        <v>150</v>
      </c>
      <c r="I53" s="17" t="s">
        <v>115</v>
      </c>
      <c r="J53" s="17">
        <v>1</v>
      </c>
      <c r="K53" s="19">
        <v>0</v>
      </c>
      <c r="L53" s="17"/>
      <c r="M53" s="17"/>
    </row>
    <row r="54" spans="2:19" ht="48.75" customHeight="1" x14ac:dyDescent="0.25">
      <c r="B54" s="19" t="s">
        <v>643</v>
      </c>
      <c r="C54" s="63"/>
      <c r="D54" s="57" t="s">
        <v>148</v>
      </c>
      <c r="E54" s="18" t="s">
        <v>151</v>
      </c>
      <c r="F54" s="17">
        <v>4.5999999999999996</v>
      </c>
      <c r="G54" s="17" t="s">
        <v>634</v>
      </c>
      <c r="H54" s="17" t="s">
        <v>152</v>
      </c>
      <c r="I54" s="17" t="s">
        <v>85</v>
      </c>
      <c r="J54" s="17">
        <v>1</v>
      </c>
      <c r="K54" s="19">
        <v>0</v>
      </c>
      <c r="L54" s="17"/>
      <c r="M54" s="17"/>
    </row>
    <row r="55" spans="2:19" ht="51" customHeight="1" x14ac:dyDescent="0.25">
      <c r="B55" s="19" t="s">
        <v>643</v>
      </c>
      <c r="C55" s="63"/>
      <c r="D55" s="57" t="s">
        <v>148</v>
      </c>
      <c r="E55" s="18" t="s">
        <v>153</v>
      </c>
      <c r="F55" s="17">
        <v>4.7</v>
      </c>
      <c r="G55" s="17" t="s">
        <v>635</v>
      </c>
      <c r="H55" s="17" t="s">
        <v>154</v>
      </c>
      <c r="I55" s="17" t="s">
        <v>85</v>
      </c>
      <c r="J55" s="17">
        <v>1</v>
      </c>
      <c r="K55" s="19">
        <v>0</v>
      </c>
      <c r="L55" s="17"/>
      <c r="M55" s="17"/>
    </row>
    <row r="56" spans="2:19" ht="48" customHeight="1" x14ac:dyDescent="0.25">
      <c r="B56" s="19" t="s">
        <v>643</v>
      </c>
      <c r="C56" s="63"/>
      <c r="D56" s="57" t="s">
        <v>148</v>
      </c>
      <c r="E56" s="18" t="s">
        <v>155</v>
      </c>
      <c r="F56" s="17">
        <v>4.8</v>
      </c>
      <c r="G56" s="17" t="s">
        <v>156</v>
      </c>
      <c r="H56" s="17" t="s">
        <v>157</v>
      </c>
      <c r="I56" s="17" t="s">
        <v>85</v>
      </c>
      <c r="J56" s="17">
        <v>1</v>
      </c>
      <c r="K56" s="19">
        <v>0</v>
      </c>
      <c r="L56" s="17"/>
      <c r="M56" s="17"/>
    </row>
    <row r="57" spans="2:19" ht="38.25" x14ac:dyDescent="0.25">
      <c r="B57" s="19" t="s">
        <v>643</v>
      </c>
      <c r="C57" s="63"/>
      <c r="D57" s="57" t="s">
        <v>136</v>
      </c>
      <c r="E57" s="18" t="s">
        <v>158</v>
      </c>
      <c r="F57" s="17">
        <v>4.9000000000000004</v>
      </c>
      <c r="G57" s="17" t="s">
        <v>636</v>
      </c>
      <c r="H57" s="17" t="s">
        <v>159</v>
      </c>
      <c r="I57" s="17" t="s">
        <v>85</v>
      </c>
      <c r="J57" s="17">
        <v>1</v>
      </c>
      <c r="K57" s="19">
        <v>1</v>
      </c>
      <c r="L57" s="17"/>
      <c r="M57" s="17" t="s">
        <v>525</v>
      </c>
    </row>
    <row r="58" spans="2:19" ht="38.25" x14ac:dyDescent="0.25">
      <c r="B58" s="19" t="s">
        <v>643</v>
      </c>
      <c r="C58" s="63"/>
      <c r="D58" s="57" t="s">
        <v>136</v>
      </c>
      <c r="E58" s="18" t="s">
        <v>160</v>
      </c>
      <c r="F58" s="27">
        <v>4.0999999999999996</v>
      </c>
      <c r="G58" s="17" t="s">
        <v>637</v>
      </c>
      <c r="H58" s="17" t="s">
        <v>161</v>
      </c>
      <c r="I58" s="17" t="s">
        <v>85</v>
      </c>
      <c r="J58" s="17">
        <v>1</v>
      </c>
      <c r="K58" s="19">
        <v>1</v>
      </c>
      <c r="L58" s="17"/>
      <c r="M58" s="17" t="s">
        <v>526</v>
      </c>
    </row>
    <row r="59" spans="2:19" ht="64.5" customHeight="1" x14ac:dyDescent="0.25">
      <c r="B59" s="19" t="s">
        <v>643</v>
      </c>
      <c r="C59" s="63"/>
      <c r="D59" s="57" t="s">
        <v>136</v>
      </c>
      <c r="E59" s="18" t="s">
        <v>162</v>
      </c>
      <c r="F59" s="17">
        <v>4.1100000000000003</v>
      </c>
      <c r="G59" s="17" t="s">
        <v>638</v>
      </c>
      <c r="H59" s="17" t="s">
        <v>163</v>
      </c>
      <c r="I59" s="17" t="s">
        <v>85</v>
      </c>
      <c r="J59" s="17">
        <v>1</v>
      </c>
      <c r="K59" s="19">
        <v>0</v>
      </c>
      <c r="L59" s="17"/>
      <c r="M59" s="17"/>
    </row>
    <row r="60" spans="2:19" ht="51" customHeight="1" x14ac:dyDescent="0.25">
      <c r="B60" s="19" t="s">
        <v>643</v>
      </c>
      <c r="C60" s="63"/>
      <c r="D60" s="57" t="s">
        <v>136</v>
      </c>
      <c r="E60" s="18" t="s">
        <v>164</v>
      </c>
      <c r="F60" s="17">
        <v>4.12</v>
      </c>
      <c r="G60" s="17" t="s">
        <v>639</v>
      </c>
      <c r="H60" s="17" t="s">
        <v>165</v>
      </c>
      <c r="I60" s="17" t="s">
        <v>85</v>
      </c>
      <c r="J60" s="17">
        <v>1</v>
      </c>
      <c r="K60" s="19">
        <v>1</v>
      </c>
      <c r="L60" s="17"/>
      <c r="M60" s="17" t="s">
        <v>527</v>
      </c>
    </row>
    <row r="61" spans="2:19" ht="41.25" customHeight="1" thickBot="1" x14ac:dyDescent="0.3">
      <c r="B61" s="56" t="s">
        <v>643</v>
      </c>
      <c r="C61" s="64"/>
      <c r="D61" s="58" t="s">
        <v>136</v>
      </c>
      <c r="E61" s="55" t="s">
        <v>166</v>
      </c>
      <c r="F61" s="54">
        <v>4.13</v>
      </c>
      <c r="G61" s="54" t="s">
        <v>640</v>
      </c>
      <c r="H61" s="54" t="s">
        <v>167</v>
      </c>
      <c r="I61" s="54" t="s">
        <v>85</v>
      </c>
      <c r="J61" s="54">
        <v>1</v>
      </c>
      <c r="K61" s="56">
        <v>0</v>
      </c>
      <c r="L61" s="54"/>
      <c r="M61" s="54"/>
    </row>
    <row r="62" spans="2:19" ht="51" x14ac:dyDescent="0.25">
      <c r="B62" s="52" t="s">
        <v>192</v>
      </c>
      <c r="C62" s="65"/>
      <c r="D62" s="59" t="s">
        <v>6</v>
      </c>
      <c r="E62" s="51" t="s">
        <v>7</v>
      </c>
      <c r="F62" s="50">
        <v>1.1000000000000001</v>
      </c>
      <c r="G62" s="50" t="s">
        <v>618</v>
      </c>
      <c r="H62" s="50" t="s">
        <v>8</v>
      </c>
      <c r="I62" s="50" t="s">
        <v>9</v>
      </c>
      <c r="J62" s="50">
        <v>2</v>
      </c>
      <c r="K62" s="52">
        <v>2</v>
      </c>
      <c r="L62" s="50"/>
      <c r="M62" s="53" t="s">
        <v>288</v>
      </c>
    </row>
    <row r="63" spans="2:19" ht="51" x14ac:dyDescent="0.25">
      <c r="B63" s="19" t="s">
        <v>192</v>
      </c>
      <c r="C63" s="60"/>
      <c r="D63" s="57" t="s">
        <v>6</v>
      </c>
      <c r="E63" s="18" t="s">
        <v>10</v>
      </c>
      <c r="F63" s="17">
        <v>1.1000000000000001</v>
      </c>
      <c r="G63" s="17" t="s">
        <v>618</v>
      </c>
      <c r="H63" s="17" t="s">
        <v>11</v>
      </c>
      <c r="I63" s="17" t="s">
        <v>9</v>
      </c>
      <c r="J63" s="17">
        <v>2</v>
      </c>
      <c r="K63" s="19">
        <v>2</v>
      </c>
      <c r="L63" s="17"/>
      <c r="M63" s="21" t="s">
        <v>288</v>
      </c>
    </row>
    <row r="64" spans="2:19" ht="51" x14ac:dyDescent="0.25">
      <c r="B64" s="19" t="s">
        <v>192</v>
      </c>
      <c r="C64" s="60"/>
      <c r="D64" s="57" t="s">
        <v>6</v>
      </c>
      <c r="E64" s="18" t="s">
        <v>12</v>
      </c>
      <c r="F64" s="17">
        <v>1.1000000000000001</v>
      </c>
      <c r="G64" s="17" t="s">
        <v>618</v>
      </c>
      <c r="H64" s="17" t="s">
        <v>13</v>
      </c>
      <c r="I64" s="17" t="s">
        <v>9</v>
      </c>
      <c r="J64" s="17">
        <v>2</v>
      </c>
      <c r="K64" s="19">
        <v>1</v>
      </c>
      <c r="L64" s="17" t="s">
        <v>289</v>
      </c>
      <c r="M64" s="21" t="s">
        <v>288</v>
      </c>
    </row>
    <row r="65" spans="2:13" ht="89.25" x14ac:dyDescent="0.25">
      <c r="B65" s="19" t="s">
        <v>192</v>
      </c>
      <c r="C65" s="60"/>
      <c r="D65" s="57" t="s">
        <v>6</v>
      </c>
      <c r="E65" s="18" t="s">
        <v>14</v>
      </c>
      <c r="F65" s="17">
        <v>1.2</v>
      </c>
      <c r="G65" s="17" t="s">
        <v>619</v>
      </c>
      <c r="H65" s="17" t="s">
        <v>15</v>
      </c>
      <c r="I65" s="17" t="s">
        <v>16</v>
      </c>
      <c r="J65" s="17">
        <v>3</v>
      </c>
      <c r="K65" s="19">
        <v>3</v>
      </c>
      <c r="L65" s="17" t="s">
        <v>290</v>
      </c>
      <c r="M65" s="21" t="s">
        <v>291</v>
      </c>
    </row>
    <row r="66" spans="2:13" ht="89.25" x14ac:dyDescent="0.25">
      <c r="B66" s="19" t="s">
        <v>192</v>
      </c>
      <c r="C66" s="60"/>
      <c r="D66" s="57" t="s">
        <v>6</v>
      </c>
      <c r="E66" s="18" t="s">
        <v>17</v>
      </c>
      <c r="F66" s="17">
        <v>1.2</v>
      </c>
      <c r="G66" s="17" t="s">
        <v>619</v>
      </c>
      <c r="H66" s="17" t="s">
        <v>18</v>
      </c>
      <c r="I66" s="17" t="s">
        <v>16</v>
      </c>
      <c r="J66" s="17">
        <v>3</v>
      </c>
      <c r="K66" s="19">
        <v>3</v>
      </c>
      <c r="L66" s="17" t="s">
        <v>290</v>
      </c>
      <c r="M66" s="21" t="s">
        <v>291</v>
      </c>
    </row>
    <row r="67" spans="2:13" ht="89.25" x14ac:dyDescent="0.25">
      <c r="B67" s="19" t="s">
        <v>192</v>
      </c>
      <c r="C67" s="60"/>
      <c r="D67" s="57" t="s">
        <v>6</v>
      </c>
      <c r="E67" s="18" t="s">
        <v>19</v>
      </c>
      <c r="F67" s="17">
        <v>1.2</v>
      </c>
      <c r="G67" s="17" t="s">
        <v>619</v>
      </c>
      <c r="H67" s="17" t="s">
        <v>20</v>
      </c>
      <c r="I67" s="17" t="s">
        <v>16</v>
      </c>
      <c r="J67" s="17">
        <v>3</v>
      </c>
      <c r="K67" s="19">
        <v>3</v>
      </c>
      <c r="L67" s="17" t="s">
        <v>292</v>
      </c>
      <c r="M67" s="21" t="s">
        <v>293</v>
      </c>
    </row>
    <row r="68" spans="2:13" ht="52.5" customHeight="1" x14ac:dyDescent="0.25">
      <c r="B68" s="19" t="s">
        <v>192</v>
      </c>
      <c r="C68" s="60"/>
      <c r="D68" s="57" t="s">
        <v>6</v>
      </c>
      <c r="E68" s="18" t="s">
        <v>21</v>
      </c>
      <c r="F68" s="17">
        <v>1.3</v>
      </c>
      <c r="G68" s="17" t="s">
        <v>620</v>
      </c>
      <c r="H68" s="17" t="s">
        <v>22</v>
      </c>
      <c r="I68" s="17" t="s">
        <v>23</v>
      </c>
      <c r="J68" s="17">
        <v>2</v>
      </c>
      <c r="K68" s="19">
        <v>2</v>
      </c>
      <c r="L68" s="17"/>
      <c r="M68" s="21" t="s">
        <v>294</v>
      </c>
    </row>
    <row r="69" spans="2:13" ht="118.5" customHeight="1" x14ac:dyDescent="0.25">
      <c r="B69" s="19" t="s">
        <v>192</v>
      </c>
      <c r="C69" s="60"/>
      <c r="D69" s="57" t="s">
        <v>6</v>
      </c>
      <c r="E69" s="18" t="s">
        <v>24</v>
      </c>
      <c r="F69" s="17">
        <v>1.4</v>
      </c>
      <c r="G69" s="17" t="s">
        <v>641</v>
      </c>
      <c r="H69" s="17" t="s">
        <v>25</v>
      </c>
      <c r="I69" s="17" t="s">
        <v>26</v>
      </c>
      <c r="J69" s="17">
        <v>2</v>
      </c>
      <c r="K69" s="19">
        <v>2</v>
      </c>
      <c r="L69" s="17" t="s">
        <v>295</v>
      </c>
      <c r="M69" s="21" t="s">
        <v>296</v>
      </c>
    </row>
    <row r="70" spans="2:13" ht="89.25" x14ac:dyDescent="0.25">
      <c r="B70" s="19" t="s">
        <v>192</v>
      </c>
      <c r="C70" s="60"/>
      <c r="D70" s="57" t="s">
        <v>6</v>
      </c>
      <c r="E70" s="18" t="s">
        <v>27</v>
      </c>
      <c r="F70" s="17">
        <v>1.5</v>
      </c>
      <c r="G70" s="17" t="s">
        <v>641</v>
      </c>
      <c r="H70" s="17" t="s">
        <v>28</v>
      </c>
      <c r="I70" s="17" t="s">
        <v>29</v>
      </c>
      <c r="J70" s="17">
        <v>3</v>
      </c>
      <c r="K70" s="19">
        <v>3</v>
      </c>
      <c r="L70" s="17"/>
      <c r="M70" s="21" t="s">
        <v>297</v>
      </c>
    </row>
    <row r="71" spans="2:13" ht="89.25" x14ac:dyDescent="0.25">
      <c r="B71" s="19" t="s">
        <v>192</v>
      </c>
      <c r="C71" s="60"/>
      <c r="D71" s="57" t="s">
        <v>6</v>
      </c>
      <c r="E71" s="18" t="s">
        <v>30</v>
      </c>
      <c r="F71" s="17">
        <v>1.5</v>
      </c>
      <c r="G71" s="17" t="s">
        <v>641</v>
      </c>
      <c r="H71" s="17" t="s">
        <v>31</v>
      </c>
      <c r="I71" s="17" t="s">
        <v>29</v>
      </c>
      <c r="J71" s="17">
        <v>3</v>
      </c>
      <c r="K71" s="19">
        <v>3</v>
      </c>
      <c r="L71" s="17"/>
      <c r="M71" s="21" t="s">
        <v>297</v>
      </c>
    </row>
    <row r="72" spans="2:13" ht="89.25" x14ac:dyDescent="0.25">
      <c r="B72" s="19" t="s">
        <v>192</v>
      </c>
      <c r="C72" s="60"/>
      <c r="D72" s="57" t="s">
        <v>6</v>
      </c>
      <c r="E72" s="18" t="s">
        <v>32</v>
      </c>
      <c r="F72" s="17">
        <v>1.5</v>
      </c>
      <c r="G72" s="17" t="s">
        <v>621</v>
      </c>
      <c r="H72" s="17" t="s">
        <v>33</v>
      </c>
      <c r="I72" s="17" t="s">
        <v>29</v>
      </c>
      <c r="J72" s="17">
        <v>3</v>
      </c>
      <c r="K72" s="19">
        <v>3</v>
      </c>
      <c r="L72" s="17"/>
      <c r="M72" s="21" t="s">
        <v>297</v>
      </c>
    </row>
    <row r="73" spans="2:13" ht="105" customHeight="1" x14ac:dyDescent="0.25">
      <c r="B73" s="19" t="s">
        <v>192</v>
      </c>
      <c r="C73" s="60"/>
      <c r="D73" s="57" t="s">
        <v>6</v>
      </c>
      <c r="E73" s="18" t="s">
        <v>34</v>
      </c>
      <c r="F73" s="17">
        <v>1.6</v>
      </c>
      <c r="G73" s="17" t="s">
        <v>622</v>
      </c>
      <c r="H73" s="17" t="s">
        <v>35</v>
      </c>
      <c r="I73" s="17" t="s">
        <v>36</v>
      </c>
      <c r="J73" s="17">
        <v>3</v>
      </c>
      <c r="K73" s="19">
        <v>1</v>
      </c>
      <c r="L73" s="17" t="s">
        <v>600</v>
      </c>
      <c r="M73" s="21" t="s">
        <v>298</v>
      </c>
    </row>
    <row r="74" spans="2:13" ht="103.5" customHeight="1" x14ac:dyDescent="0.25">
      <c r="B74" s="19" t="s">
        <v>192</v>
      </c>
      <c r="C74" s="60"/>
      <c r="D74" s="57" t="s">
        <v>6</v>
      </c>
      <c r="E74" s="18" t="s">
        <v>37</v>
      </c>
      <c r="F74" s="17">
        <v>1.6</v>
      </c>
      <c r="G74" s="17" t="s">
        <v>622</v>
      </c>
      <c r="H74" s="17" t="s">
        <v>38</v>
      </c>
      <c r="I74" s="17" t="s">
        <v>36</v>
      </c>
      <c r="J74" s="17">
        <v>3</v>
      </c>
      <c r="K74" s="19">
        <v>1</v>
      </c>
      <c r="L74" s="17" t="s">
        <v>600</v>
      </c>
      <c r="M74" s="21" t="s">
        <v>298</v>
      </c>
    </row>
    <row r="75" spans="2:13" ht="104.25" customHeight="1" x14ac:dyDescent="0.25">
      <c r="B75" s="19" t="s">
        <v>192</v>
      </c>
      <c r="C75" s="60"/>
      <c r="D75" s="57" t="s">
        <v>6</v>
      </c>
      <c r="E75" s="18" t="s">
        <v>39</v>
      </c>
      <c r="F75" s="17">
        <v>1.6</v>
      </c>
      <c r="G75" s="17" t="s">
        <v>622</v>
      </c>
      <c r="H75" s="17" t="s">
        <v>40</v>
      </c>
      <c r="I75" s="17" t="s">
        <v>36</v>
      </c>
      <c r="J75" s="17">
        <v>3</v>
      </c>
      <c r="K75" s="19">
        <v>1</v>
      </c>
      <c r="L75" s="17" t="s">
        <v>600</v>
      </c>
      <c r="M75" s="21" t="s">
        <v>298</v>
      </c>
    </row>
    <row r="76" spans="2:13" ht="63.75" x14ac:dyDescent="0.25">
      <c r="B76" s="19" t="s">
        <v>192</v>
      </c>
      <c r="C76" s="60"/>
      <c r="D76" s="57" t="s">
        <v>6</v>
      </c>
      <c r="E76" s="18" t="s">
        <v>41</v>
      </c>
      <c r="F76" s="17">
        <v>1.7</v>
      </c>
      <c r="G76" s="17" t="s">
        <v>623</v>
      </c>
      <c r="H76" s="17" t="s">
        <v>42</v>
      </c>
      <c r="I76" s="17" t="s">
        <v>43</v>
      </c>
      <c r="J76" s="17">
        <v>3</v>
      </c>
      <c r="K76" s="19">
        <v>3</v>
      </c>
      <c r="L76" s="17" t="s">
        <v>299</v>
      </c>
      <c r="M76" s="21" t="s">
        <v>300</v>
      </c>
    </row>
    <row r="77" spans="2:13" ht="63.75" x14ac:dyDescent="0.25">
      <c r="B77" s="19" t="s">
        <v>192</v>
      </c>
      <c r="C77" s="60"/>
      <c r="D77" s="57" t="s">
        <v>6</v>
      </c>
      <c r="E77" s="18" t="s">
        <v>44</v>
      </c>
      <c r="F77" s="17">
        <v>1.7</v>
      </c>
      <c r="G77" s="17" t="s">
        <v>623</v>
      </c>
      <c r="H77" s="17" t="s">
        <v>45</v>
      </c>
      <c r="I77" s="17" t="s">
        <v>43</v>
      </c>
      <c r="J77" s="17">
        <v>3</v>
      </c>
      <c r="K77" s="19">
        <v>3</v>
      </c>
      <c r="L77" s="17" t="s">
        <v>299</v>
      </c>
      <c r="M77" s="21" t="s">
        <v>300</v>
      </c>
    </row>
    <row r="78" spans="2:13" ht="63.75" x14ac:dyDescent="0.25">
      <c r="B78" s="19" t="s">
        <v>192</v>
      </c>
      <c r="C78" s="60"/>
      <c r="D78" s="57" t="s">
        <v>6</v>
      </c>
      <c r="E78" s="18" t="s">
        <v>46</v>
      </c>
      <c r="F78" s="17">
        <v>1.7</v>
      </c>
      <c r="G78" s="17" t="s">
        <v>623</v>
      </c>
      <c r="H78" s="17" t="s">
        <v>47</v>
      </c>
      <c r="I78" s="17" t="s">
        <v>43</v>
      </c>
      <c r="J78" s="17">
        <v>3</v>
      </c>
      <c r="K78" s="19">
        <v>2</v>
      </c>
      <c r="L78" s="17" t="s">
        <v>299</v>
      </c>
      <c r="M78" s="21" t="s">
        <v>300</v>
      </c>
    </row>
    <row r="79" spans="2:13" ht="79.5" customHeight="1" x14ac:dyDescent="0.25">
      <c r="B79" s="19" t="s">
        <v>192</v>
      </c>
      <c r="C79" s="60"/>
      <c r="D79" s="57" t="s">
        <v>6</v>
      </c>
      <c r="E79" s="18" t="s">
        <v>48</v>
      </c>
      <c r="F79" s="17">
        <v>1.8</v>
      </c>
      <c r="G79" s="17" t="s">
        <v>624</v>
      </c>
      <c r="H79" s="17" t="s">
        <v>49</v>
      </c>
      <c r="I79" s="17" t="s">
        <v>50</v>
      </c>
      <c r="J79" s="17">
        <v>2</v>
      </c>
      <c r="K79" s="19">
        <v>2</v>
      </c>
      <c r="L79" s="17" t="s">
        <v>301</v>
      </c>
      <c r="M79" s="21" t="s">
        <v>302</v>
      </c>
    </row>
    <row r="80" spans="2:13" ht="62.25" customHeight="1" x14ac:dyDescent="0.25">
      <c r="B80" s="19" t="s">
        <v>192</v>
      </c>
      <c r="C80" s="60"/>
      <c r="D80" s="57" t="s">
        <v>6</v>
      </c>
      <c r="E80" s="18" t="s">
        <v>51</v>
      </c>
      <c r="F80" s="17">
        <v>1.8</v>
      </c>
      <c r="G80" s="17" t="s">
        <v>624</v>
      </c>
      <c r="H80" s="17" t="s">
        <v>52</v>
      </c>
      <c r="I80" s="17" t="s">
        <v>53</v>
      </c>
      <c r="J80" s="17">
        <v>6</v>
      </c>
      <c r="K80" s="19">
        <v>6</v>
      </c>
      <c r="L80" s="17" t="s">
        <v>605</v>
      </c>
      <c r="M80" s="21" t="s">
        <v>304</v>
      </c>
    </row>
    <row r="81" spans="2:13" ht="38.25" x14ac:dyDescent="0.25">
      <c r="B81" s="19" t="s">
        <v>192</v>
      </c>
      <c r="C81" s="60"/>
      <c r="D81" s="57" t="s">
        <v>6</v>
      </c>
      <c r="E81" s="18" t="s">
        <v>54</v>
      </c>
      <c r="F81" s="17">
        <v>1.8</v>
      </c>
      <c r="G81" s="17" t="s">
        <v>624</v>
      </c>
      <c r="H81" s="17" t="s">
        <v>55</v>
      </c>
      <c r="I81" s="17" t="s">
        <v>56</v>
      </c>
      <c r="J81" s="17">
        <v>2</v>
      </c>
      <c r="K81" s="19">
        <v>2</v>
      </c>
      <c r="L81" s="17" t="s">
        <v>303</v>
      </c>
      <c r="M81" s="21" t="s">
        <v>304</v>
      </c>
    </row>
    <row r="82" spans="2:13" ht="114.75" x14ac:dyDescent="0.25">
      <c r="B82" s="19" t="s">
        <v>192</v>
      </c>
      <c r="C82" s="60"/>
      <c r="D82" s="57" t="s">
        <v>6</v>
      </c>
      <c r="E82" s="18" t="s">
        <v>57</v>
      </c>
      <c r="F82" s="17">
        <v>1.9</v>
      </c>
      <c r="G82" s="17" t="s">
        <v>58</v>
      </c>
      <c r="H82" s="17" t="s">
        <v>59</v>
      </c>
      <c r="I82" s="17" t="s">
        <v>60</v>
      </c>
      <c r="J82" s="17">
        <v>2</v>
      </c>
      <c r="K82" s="19">
        <v>1</v>
      </c>
      <c r="L82" s="17" t="s">
        <v>305</v>
      </c>
      <c r="M82" s="21" t="s">
        <v>304</v>
      </c>
    </row>
    <row r="83" spans="2:13" ht="117" customHeight="1" x14ac:dyDescent="0.25">
      <c r="B83" s="19" t="s">
        <v>192</v>
      </c>
      <c r="C83" s="60"/>
      <c r="D83" s="57" t="s">
        <v>6</v>
      </c>
      <c r="E83" s="18" t="s">
        <v>61</v>
      </c>
      <c r="F83" s="17">
        <v>1.9</v>
      </c>
      <c r="G83" s="17" t="s">
        <v>58</v>
      </c>
      <c r="H83" s="17" t="s">
        <v>62</v>
      </c>
      <c r="I83" s="17" t="s">
        <v>63</v>
      </c>
      <c r="J83" s="17">
        <v>1</v>
      </c>
      <c r="K83" s="19">
        <v>2</v>
      </c>
      <c r="L83" s="17"/>
      <c r="M83" s="21" t="s">
        <v>306</v>
      </c>
    </row>
    <row r="84" spans="2:13" ht="93" customHeight="1" x14ac:dyDescent="0.25">
      <c r="B84" s="19" t="s">
        <v>192</v>
      </c>
      <c r="C84" s="60"/>
      <c r="D84" s="57" t="s">
        <v>6</v>
      </c>
      <c r="E84" s="18" t="s">
        <v>64</v>
      </c>
      <c r="F84" s="17">
        <v>1.9</v>
      </c>
      <c r="G84" s="17" t="s">
        <v>58</v>
      </c>
      <c r="H84" s="17" t="s">
        <v>65</v>
      </c>
      <c r="I84" s="17" t="s">
        <v>66</v>
      </c>
      <c r="J84" s="17">
        <v>2</v>
      </c>
      <c r="K84" s="19">
        <v>2</v>
      </c>
      <c r="L84" s="17" t="s">
        <v>307</v>
      </c>
      <c r="M84" s="21" t="s">
        <v>308</v>
      </c>
    </row>
    <row r="85" spans="2:13" ht="76.5" x14ac:dyDescent="0.25">
      <c r="B85" s="19" t="s">
        <v>192</v>
      </c>
      <c r="C85" s="61"/>
      <c r="D85" s="57" t="s">
        <v>67</v>
      </c>
      <c r="E85" s="18" t="s">
        <v>68</v>
      </c>
      <c r="F85" s="17">
        <v>2.1</v>
      </c>
      <c r="G85" s="17" t="s">
        <v>642</v>
      </c>
      <c r="H85" s="17" t="s">
        <v>69</v>
      </c>
      <c r="I85" s="17" t="s">
        <v>70</v>
      </c>
      <c r="J85" s="17">
        <v>2</v>
      </c>
      <c r="K85" s="19">
        <v>2</v>
      </c>
      <c r="L85" s="17"/>
      <c r="M85" s="17"/>
    </row>
    <row r="86" spans="2:13" ht="127.5" x14ac:dyDescent="0.25">
      <c r="B86" s="19" t="s">
        <v>192</v>
      </c>
      <c r="C86" s="61"/>
      <c r="D86" s="57" t="s">
        <v>71</v>
      </c>
      <c r="E86" s="18" t="s">
        <v>72</v>
      </c>
      <c r="F86" s="17">
        <v>2.2000000000000002</v>
      </c>
      <c r="G86" s="17" t="s">
        <v>73</v>
      </c>
      <c r="H86" s="17" t="s">
        <v>74</v>
      </c>
      <c r="I86" s="17" t="s">
        <v>75</v>
      </c>
      <c r="J86" s="17">
        <v>3</v>
      </c>
      <c r="K86" s="19">
        <v>2</v>
      </c>
      <c r="L86" s="17" t="s">
        <v>417</v>
      </c>
      <c r="M86" s="21" t="s">
        <v>302</v>
      </c>
    </row>
    <row r="87" spans="2:13" ht="94.5" customHeight="1" x14ac:dyDescent="0.25">
      <c r="B87" s="19" t="s">
        <v>192</v>
      </c>
      <c r="C87" s="61"/>
      <c r="D87" s="57" t="s">
        <v>71</v>
      </c>
      <c r="E87" s="18" t="s">
        <v>76</v>
      </c>
      <c r="F87" s="17">
        <v>2.2999999999999998</v>
      </c>
      <c r="G87" s="17" t="s">
        <v>77</v>
      </c>
      <c r="H87" s="17" t="s">
        <v>78</v>
      </c>
      <c r="I87" s="17" t="s">
        <v>75</v>
      </c>
      <c r="J87" s="17">
        <v>3</v>
      </c>
      <c r="K87" s="19">
        <v>2</v>
      </c>
      <c r="L87" s="17" t="s">
        <v>223</v>
      </c>
      <c r="M87" s="17" t="s">
        <v>423</v>
      </c>
    </row>
    <row r="88" spans="2:13" ht="94.5" customHeight="1" x14ac:dyDescent="0.25">
      <c r="B88" s="19" t="s">
        <v>192</v>
      </c>
      <c r="C88" s="61"/>
      <c r="D88" s="57" t="s">
        <v>71</v>
      </c>
      <c r="E88" s="18" t="s">
        <v>79</v>
      </c>
      <c r="F88" s="17">
        <v>2.4</v>
      </c>
      <c r="G88" s="17" t="s">
        <v>80</v>
      </c>
      <c r="H88" s="17" t="s">
        <v>81</v>
      </c>
      <c r="I88" s="17" t="s">
        <v>75</v>
      </c>
      <c r="J88" s="17">
        <v>3</v>
      </c>
      <c r="K88" s="19">
        <v>3</v>
      </c>
      <c r="L88" s="17" t="s">
        <v>224</v>
      </c>
      <c r="M88" s="17" t="s">
        <v>423</v>
      </c>
    </row>
    <row r="89" spans="2:13" ht="40.5" customHeight="1" x14ac:dyDescent="0.25">
      <c r="B89" s="19" t="s">
        <v>192</v>
      </c>
      <c r="C89" s="61"/>
      <c r="D89" s="57" t="s">
        <v>67</v>
      </c>
      <c r="E89" s="18" t="s">
        <v>82</v>
      </c>
      <c r="F89" s="17">
        <v>2.5</v>
      </c>
      <c r="G89" s="17" t="s">
        <v>83</v>
      </c>
      <c r="H89" s="17" t="s">
        <v>84</v>
      </c>
      <c r="I89" s="17" t="s">
        <v>85</v>
      </c>
      <c r="J89" s="17">
        <v>1</v>
      </c>
      <c r="K89" s="19">
        <v>1</v>
      </c>
      <c r="L89" s="17" t="s">
        <v>614</v>
      </c>
      <c r="M89" s="17"/>
    </row>
    <row r="90" spans="2:13" ht="51.75" customHeight="1" x14ac:dyDescent="0.25">
      <c r="B90" s="19" t="s">
        <v>192</v>
      </c>
      <c r="C90" s="61"/>
      <c r="D90" s="57" t="s">
        <v>67</v>
      </c>
      <c r="E90" s="18" t="s">
        <v>86</v>
      </c>
      <c r="F90" s="17">
        <v>2.6</v>
      </c>
      <c r="G90" s="17" t="s">
        <v>625</v>
      </c>
      <c r="H90" s="17" t="s">
        <v>87</v>
      </c>
      <c r="I90" s="17" t="s">
        <v>88</v>
      </c>
      <c r="J90" s="17">
        <v>2</v>
      </c>
      <c r="K90" s="19">
        <v>2</v>
      </c>
      <c r="L90" s="17"/>
      <c r="M90" s="21" t="s">
        <v>296</v>
      </c>
    </row>
    <row r="91" spans="2:13" ht="66.75" customHeight="1" x14ac:dyDescent="0.25">
      <c r="B91" s="19" t="s">
        <v>192</v>
      </c>
      <c r="C91" s="61"/>
      <c r="D91" s="57" t="s">
        <v>67</v>
      </c>
      <c r="E91" s="18" t="s">
        <v>89</v>
      </c>
      <c r="F91" s="17">
        <v>2.6</v>
      </c>
      <c r="G91" s="17" t="s">
        <v>625</v>
      </c>
      <c r="H91" s="17" t="s">
        <v>90</v>
      </c>
      <c r="I91" s="17" t="s">
        <v>91</v>
      </c>
      <c r="J91" s="17">
        <v>1</v>
      </c>
      <c r="K91" s="19"/>
      <c r="L91" s="23"/>
      <c r="M91" s="17"/>
    </row>
    <row r="92" spans="2:13" ht="65.25" customHeight="1" x14ac:dyDescent="0.25">
      <c r="B92" s="19" t="s">
        <v>192</v>
      </c>
      <c r="C92" s="61"/>
      <c r="D92" s="57" t="s">
        <v>92</v>
      </c>
      <c r="E92" s="18" t="s">
        <v>93</v>
      </c>
      <c r="F92" s="17">
        <v>2.7</v>
      </c>
      <c r="G92" s="17" t="s">
        <v>626</v>
      </c>
      <c r="H92" s="17" t="s">
        <v>94</v>
      </c>
      <c r="I92" s="17" t="s">
        <v>85</v>
      </c>
      <c r="J92" s="17">
        <v>1</v>
      </c>
      <c r="K92" s="19">
        <v>1</v>
      </c>
      <c r="L92" s="17" t="s">
        <v>418</v>
      </c>
      <c r="M92" s="28" t="s">
        <v>422</v>
      </c>
    </row>
    <row r="93" spans="2:13" ht="102" x14ac:dyDescent="0.25">
      <c r="B93" s="19" t="s">
        <v>192</v>
      </c>
      <c r="C93" s="61"/>
      <c r="D93" s="57" t="s">
        <v>92</v>
      </c>
      <c r="E93" s="18" t="s">
        <v>95</v>
      </c>
      <c r="F93" s="17">
        <v>2.8</v>
      </c>
      <c r="G93" s="17" t="s">
        <v>96</v>
      </c>
      <c r="H93" s="17" t="s">
        <v>97</v>
      </c>
      <c r="I93" s="17" t="s">
        <v>98</v>
      </c>
      <c r="J93" s="17">
        <v>3</v>
      </c>
      <c r="K93" s="19">
        <v>3</v>
      </c>
      <c r="L93" s="17"/>
      <c r="M93" s="17"/>
    </row>
    <row r="94" spans="2:13" ht="49.5" customHeight="1" x14ac:dyDescent="0.25">
      <c r="B94" s="19" t="s">
        <v>192</v>
      </c>
      <c r="C94" s="61"/>
      <c r="D94" s="57" t="s">
        <v>92</v>
      </c>
      <c r="E94" s="18" t="s">
        <v>99</v>
      </c>
      <c r="F94" s="17">
        <v>2.9</v>
      </c>
      <c r="G94" s="17" t="s">
        <v>100</v>
      </c>
      <c r="H94" s="17" t="s">
        <v>101</v>
      </c>
      <c r="I94" s="17" t="s">
        <v>85</v>
      </c>
      <c r="J94" s="17">
        <v>1</v>
      </c>
      <c r="K94" s="19">
        <v>1</v>
      </c>
      <c r="L94" s="17" t="s">
        <v>421</v>
      </c>
      <c r="M94" s="21" t="s">
        <v>422</v>
      </c>
    </row>
    <row r="95" spans="2:13" ht="35.25" customHeight="1" x14ac:dyDescent="0.25">
      <c r="B95" s="19" t="s">
        <v>192</v>
      </c>
      <c r="C95" s="61"/>
      <c r="D95" s="57" t="s">
        <v>92</v>
      </c>
      <c r="E95" s="18" t="s">
        <v>102</v>
      </c>
      <c r="F95" s="17">
        <v>2.9</v>
      </c>
      <c r="G95" s="17" t="s">
        <v>100</v>
      </c>
      <c r="H95" s="17" t="s">
        <v>103</v>
      </c>
      <c r="I95" s="17" t="s">
        <v>85</v>
      </c>
      <c r="J95" s="17">
        <v>1</v>
      </c>
      <c r="K95" s="19">
        <v>0</v>
      </c>
      <c r="L95" s="17"/>
      <c r="M95" s="17"/>
    </row>
    <row r="96" spans="2:13" ht="48.75" customHeight="1" x14ac:dyDescent="0.25">
      <c r="B96" s="19" t="s">
        <v>192</v>
      </c>
      <c r="C96" s="61"/>
      <c r="D96" s="57" t="s">
        <v>92</v>
      </c>
      <c r="E96" s="18" t="s">
        <v>104</v>
      </c>
      <c r="F96" s="17">
        <v>2.9</v>
      </c>
      <c r="G96" s="17" t="s">
        <v>100</v>
      </c>
      <c r="H96" s="17" t="s">
        <v>105</v>
      </c>
      <c r="I96" s="17" t="s">
        <v>85</v>
      </c>
      <c r="J96" s="17">
        <v>1</v>
      </c>
      <c r="K96" s="19">
        <v>0.5</v>
      </c>
      <c r="L96" s="17" t="s">
        <v>420</v>
      </c>
      <c r="M96" s="21" t="s">
        <v>419</v>
      </c>
    </row>
    <row r="97" spans="2:13" ht="64.5" customHeight="1" x14ac:dyDescent="0.25">
      <c r="B97" s="19" t="s">
        <v>192</v>
      </c>
      <c r="C97" s="62"/>
      <c r="D97" s="57" t="s">
        <v>106</v>
      </c>
      <c r="E97" s="18" t="s">
        <v>107</v>
      </c>
      <c r="F97" s="17">
        <v>3.1</v>
      </c>
      <c r="G97" s="17" t="s">
        <v>108</v>
      </c>
      <c r="H97" s="17" t="s">
        <v>109</v>
      </c>
      <c r="I97" s="17" t="s">
        <v>110</v>
      </c>
      <c r="J97" s="17">
        <v>1</v>
      </c>
      <c r="K97" s="19">
        <v>1</v>
      </c>
      <c r="L97" s="17" t="s">
        <v>470</v>
      </c>
      <c r="M97" s="21" t="s">
        <v>471</v>
      </c>
    </row>
    <row r="98" spans="2:13" ht="51" x14ac:dyDescent="0.25">
      <c r="B98" s="19" t="s">
        <v>192</v>
      </c>
      <c r="C98" s="62"/>
      <c r="D98" s="57" t="s">
        <v>111</v>
      </c>
      <c r="E98" s="18" t="s">
        <v>112</v>
      </c>
      <c r="F98" s="17">
        <v>3.2</v>
      </c>
      <c r="G98" s="17" t="s">
        <v>113</v>
      </c>
      <c r="H98" s="17" t="s">
        <v>114</v>
      </c>
      <c r="I98" s="17" t="s">
        <v>115</v>
      </c>
      <c r="J98" s="17">
        <v>1</v>
      </c>
      <c r="K98" s="19">
        <v>0</v>
      </c>
      <c r="L98" s="17"/>
      <c r="M98" s="17"/>
    </row>
    <row r="99" spans="2:13" ht="48.75" customHeight="1" x14ac:dyDescent="0.25">
      <c r="B99" s="19" t="s">
        <v>192</v>
      </c>
      <c r="C99" s="62"/>
      <c r="D99" s="57" t="s">
        <v>111</v>
      </c>
      <c r="E99" s="18" t="s">
        <v>116</v>
      </c>
      <c r="F99" s="17">
        <v>3.2</v>
      </c>
      <c r="G99" s="17" t="s">
        <v>113</v>
      </c>
      <c r="H99" s="17" t="s">
        <v>117</v>
      </c>
      <c r="I99" s="17" t="s">
        <v>115</v>
      </c>
      <c r="J99" s="17">
        <v>1</v>
      </c>
      <c r="K99" s="19">
        <v>0</v>
      </c>
      <c r="L99" s="17"/>
      <c r="M99" s="17"/>
    </row>
    <row r="100" spans="2:13" ht="51" x14ac:dyDescent="0.25">
      <c r="B100" s="19" t="s">
        <v>192</v>
      </c>
      <c r="C100" s="62"/>
      <c r="D100" s="57" t="s">
        <v>111</v>
      </c>
      <c r="E100" s="18" t="s">
        <v>118</v>
      </c>
      <c r="F100" s="17">
        <v>3.2</v>
      </c>
      <c r="G100" s="17" t="s">
        <v>113</v>
      </c>
      <c r="H100" s="17" t="s">
        <v>119</v>
      </c>
      <c r="I100" s="17" t="s">
        <v>115</v>
      </c>
      <c r="J100" s="17">
        <v>1</v>
      </c>
      <c r="K100" s="19">
        <v>0</v>
      </c>
      <c r="L100" s="17"/>
      <c r="M100" s="17"/>
    </row>
    <row r="101" spans="2:13" ht="88.5" customHeight="1" x14ac:dyDescent="0.25">
      <c r="B101" s="19" t="s">
        <v>192</v>
      </c>
      <c r="C101" s="62"/>
      <c r="D101" s="57" t="s">
        <v>111</v>
      </c>
      <c r="E101" s="18" t="s">
        <v>120</v>
      </c>
      <c r="F101" s="17">
        <v>3.3</v>
      </c>
      <c r="G101" s="17" t="s">
        <v>627</v>
      </c>
      <c r="H101" s="17" t="s">
        <v>121</v>
      </c>
      <c r="I101" s="17" t="s">
        <v>122</v>
      </c>
      <c r="J101" s="17">
        <v>1</v>
      </c>
      <c r="K101" s="19">
        <v>1</v>
      </c>
      <c r="L101" s="17" t="s">
        <v>472</v>
      </c>
      <c r="M101" s="21" t="s">
        <v>473</v>
      </c>
    </row>
    <row r="102" spans="2:13" ht="50.25" customHeight="1" x14ac:dyDescent="0.25">
      <c r="B102" s="19" t="s">
        <v>192</v>
      </c>
      <c r="C102" s="62"/>
      <c r="D102" s="57" t="s">
        <v>111</v>
      </c>
      <c r="E102" s="18" t="s">
        <v>123</v>
      </c>
      <c r="F102" s="17">
        <v>3.4</v>
      </c>
      <c r="G102" s="17" t="s">
        <v>628</v>
      </c>
      <c r="H102" s="17" t="s">
        <v>124</v>
      </c>
      <c r="I102" s="17" t="s">
        <v>115</v>
      </c>
      <c r="J102" s="17">
        <v>1</v>
      </c>
      <c r="K102" s="19">
        <v>0</v>
      </c>
      <c r="L102" s="17"/>
      <c r="M102" s="17"/>
    </row>
    <row r="103" spans="2:13" ht="76.5" x14ac:dyDescent="0.25">
      <c r="B103" s="19" t="s">
        <v>192</v>
      </c>
      <c r="C103" s="62"/>
      <c r="D103" s="57" t="s">
        <v>125</v>
      </c>
      <c r="E103" s="18" t="s">
        <v>126</v>
      </c>
      <c r="F103" s="17">
        <v>3.5</v>
      </c>
      <c r="G103" s="17" t="s">
        <v>127</v>
      </c>
      <c r="H103" s="17" t="s">
        <v>128</v>
      </c>
      <c r="I103" s="17" t="s">
        <v>129</v>
      </c>
      <c r="J103" s="17">
        <v>1</v>
      </c>
      <c r="K103" s="19">
        <v>1</v>
      </c>
      <c r="L103" s="17" t="s">
        <v>474</v>
      </c>
      <c r="M103" s="17"/>
    </row>
    <row r="104" spans="2:13" ht="49.5" customHeight="1" x14ac:dyDescent="0.25">
      <c r="B104" s="19" t="s">
        <v>192</v>
      </c>
      <c r="C104" s="62"/>
      <c r="D104" s="57" t="s">
        <v>130</v>
      </c>
      <c r="E104" s="18" t="s">
        <v>131</v>
      </c>
      <c r="F104" s="17">
        <v>3.6</v>
      </c>
      <c r="G104" s="17" t="s">
        <v>255</v>
      </c>
      <c r="H104" s="17" t="s">
        <v>132</v>
      </c>
      <c r="I104" s="17" t="s">
        <v>115</v>
      </c>
      <c r="J104" s="17">
        <v>1</v>
      </c>
      <c r="K104" s="19">
        <v>0.5</v>
      </c>
      <c r="L104" s="17" t="s">
        <v>475</v>
      </c>
      <c r="M104" s="21" t="s">
        <v>476</v>
      </c>
    </row>
    <row r="105" spans="2:13" ht="63" customHeight="1" x14ac:dyDescent="0.25">
      <c r="B105" s="19" t="s">
        <v>192</v>
      </c>
      <c r="C105" s="62"/>
      <c r="D105" s="57" t="s">
        <v>130</v>
      </c>
      <c r="E105" s="18" t="s">
        <v>133</v>
      </c>
      <c r="F105" s="17">
        <v>3.7</v>
      </c>
      <c r="G105" s="17" t="s">
        <v>260</v>
      </c>
      <c r="H105" s="17" t="s">
        <v>134</v>
      </c>
      <c r="I105" s="17" t="s">
        <v>135</v>
      </c>
      <c r="J105" s="17">
        <v>1</v>
      </c>
      <c r="K105" s="19">
        <v>1</v>
      </c>
      <c r="L105" s="17" t="s">
        <v>477</v>
      </c>
      <c r="M105" s="21"/>
    </row>
    <row r="106" spans="2:13" ht="49.5" customHeight="1" x14ac:dyDescent="0.25">
      <c r="B106" s="19" t="s">
        <v>192</v>
      </c>
      <c r="C106" s="63"/>
      <c r="D106" s="57" t="s">
        <v>136</v>
      </c>
      <c r="E106" s="18" t="s">
        <v>137</v>
      </c>
      <c r="F106" s="17">
        <v>4.0999999999999996</v>
      </c>
      <c r="G106" s="17" t="s">
        <v>629</v>
      </c>
      <c r="H106" s="17" t="s">
        <v>138</v>
      </c>
      <c r="I106" s="17" t="s">
        <v>85</v>
      </c>
      <c r="J106" s="17">
        <v>1</v>
      </c>
      <c r="K106" s="19">
        <v>0</v>
      </c>
      <c r="L106" s="17"/>
      <c r="M106" s="17"/>
    </row>
    <row r="107" spans="2:13" ht="51" x14ac:dyDescent="0.25">
      <c r="B107" s="19" t="s">
        <v>192</v>
      </c>
      <c r="C107" s="63"/>
      <c r="D107" s="57" t="s">
        <v>139</v>
      </c>
      <c r="E107" s="18" t="s">
        <v>140</v>
      </c>
      <c r="F107" s="17">
        <v>4.2</v>
      </c>
      <c r="G107" s="17" t="s">
        <v>630</v>
      </c>
      <c r="H107" s="17" t="s">
        <v>141</v>
      </c>
      <c r="I107" s="17" t="s">
        <v>142</v>
      </c>
      <c r="J107" s="17">
        <v>2</v>
      </c>
      <c r="K107" s="19">
        <v>0</v>
      </c>
      <c r="L107" s="17"/>
      <c r="M107" s="17" t="s">
        <v>528</v>
      </c>
    </row>
    <row r="108" spans="2:13" ht="51" customHeight="1" x14ac:dyDescent="0.25">
      <c r="B108" s="19" t="s">
        <v>192</v>
      </c>
      <c r="C108" s="63"/>
      <c r="D108" s="57" t="s">
        <v>139</v>
      </c>
      <c r="E108" s="18" t="s">
        <v>143</v>
      </c>
      <c r="F108" s="17">
        <v>4.3</v>
      </c>
      <c r="G108" s="17" t="s">
        <v>631</v>
      </c>
      <c r="H108" s="17" t="s">
        <v>144</v>
      </c>
      <c r="I108" s="17" t="s">
        <v>142</v>
      </c>
      <c r="J108" s="17">
        <v>2</v>
      </c>
      <c r="K108" s="19">
        <v>1</v>
      </c>
      <c r="L108" s="17" t="s">
        <v>529</v>
      </c>
      <c r="M108" s="17" t="s">
        <v>528</v>
      </c>
    </row>
    <row r="109" spans="2:13" ht="135" customHeight="1" x14ac:dyDescent="0.25">
      <c r="B109" s="19" t="s">
        <v>192</v>
      </c>
      <c r="C109" s="63"/>
      <c r="D109" s="57" t="s">
        <v>139</v>
      </c>
      <c r="E109" s="18" t="s">
        <v>145</v>
      </c>
      <c r="F109" s="17">
        <v>4.4000000000000004</v>
      </c>
      <c r="G109" s="17" t="s">
        <v>632</v>
      </c>
      <c r="H109" s="17" t="s">
        <v>146</v>
      </c>
      <c r="I109" s="17" t="s">
        <v>147</v>
      </c>
      <c r="J109" s="17">
        <v>7</v>
      </c>
      <c r="K109" s="19">
        <v>1</v>
      </c>
      <c r="L109" s="17" t="s">
        <v>530</v>
      </c>
      <c r="M109" s="17" t="s">
        <v>528</v>
      </c>
    </row>
    <row r="110" spans="2:13" ht="52.5" customHeight="1" x14ac:dyDescent="0.25">
      <c r="B110" s="19" t="s">
        <v>192</v>
      </c>
      <c r="C110" s="63"/>
      <c r="D110" s="57" t="s">
        <v>148</v>
      </c>
      <c r="E110" s="18" t="s">
        <v>149</v>
      </c>
      <c r="F110" s="17">
        <v>4.5</v>
      </c>
      <c r="G110" s="17" t="s">
        <v>633</v>
      </c>
      <c r="H110" s="17" t="s">
        <v>150</v>
      </c>
      <c r="I110" s="17" t="s">
        <v>115</v>
      </c>
      <c r="J110" s="17">
        <v>1</v>
      </c>
      <c r="K110" s="19">
        <v>1</v>
      </c>
      <c r="L110" s="17"/>
      <c r="M110" s="17" t="s">
        <v>528</v>
      </c>
    </row>
    <row r="111" spans="2:13" ht="63.75" customHeight="1" x14ac:dyDescent="0.25">
      <c r="B111" s="19" t="s">
        <v>192</v>
      </c>
      <c r="C111" s="63"/>
      <c r="D111" s="57" t="s">
        <v>148</v>
      </c>
      <c r="E111" s="18" t="s">
        <v>151</v>
      </c>
      <c r="F111" s="17">
        <v>4.5999999999999996</v>
      </c>
      <c r="G111" s="17" t="s">
        <v>634</v>
      </c>
      <c r="H111" s="17" t="s">
        <v>152</v>
      </c>
      <c r="I111" s="17" t="s">
        <v>85</v>
      </c>
      <c r="J111" s="17">
        <v>1</v>
      </c>
      <c r="K111" s="19">
        <v>0.5</v>
      </c>
      <c r="L111" s="17"/>
      <c r="M111" s="17" t="s">
        <v>531</v>
      </c>
    </row>
    <row r="112" spans="2:13" ht="53.25" customHeight="1" x14ac:dyDescent="0.25">
      <c r="B112" s="19" t="s">
        <v>192</v>
      </c>
      <c r="C112" s="63"/>
      <c r="D112" s="57" t="s">
        <v>148</v>
      </c>
      <c r="E112" s="18" t="s">
        <v>153</v>
      </c>
      <c r="F112" s="17">
        <v>4.7</v>
      </c>
      <c r="G112" s="17" t="s">
        <v>635</v>
      </c>
      <c r="H112" s="17" t="s">
        <v>154</v>
      </c>
      <c r="I112" s="17" t="s">
        <v>85</v>
      </c>
      <c r="J112" s="17">
        <v>1</v>
      </c>
      <c r="K112" s="19">
        <v>0</v>
      </c>
      <c r="L112" s="17"/>
      <c r="M112" s="17"/>
    </row>
    <row r="113" spans="2:13" ht="51" customHeight="1" x14ac:dyDescent="0.25">
      <c r="B113" s="19" t="s">
        <v>192</v>
      </c>
      <c r="C113" s="63"/>
      <c r="D113" s="57" t="s">
        <v>148</v>
      </c>
      <c r="E113" s="18" t="s">
        <v>155</v>
      </c>
      <c r="F113" s="17">
        <v>4.8</v>
      </c>
      <c r="G113" s="17" t="s">
        <v>156</v>
      </c>
      <c r="H113" s="17" t="s">
        <v>157</v>
      </c>
      <c r="I113" s="17" t="s">
        <v>85</v>
      </c>
      <c r="J113" s="17">
        <v>1</v>
      </c>
      <c r="K113" s="19">
        <v>0</v>
      </c>
      <c r="L113" s="17"/>
      <c r="M113" s="17"/>
    </row>
    <row r="114" spans="2:13" ht="25.5" x14ac:dyDescent="0.25">
      <c r="B114" s="19" t="s">
        <v>192</v>
      </c>
      <c r="C114" s="63"/>
      <c r="D114" s="57" t="s">
        <v>136</v>
      </c>
      <c r="E114" s="18" t="s">
        <v>158</v>
      </c>
      <c r="F114" s="17">
        <v>4.9000000000000004</v>
      </c>
      <c r="G114" s="17" t="s">
        <v>636</v>
      </c>
      <c r="H114" s="17" t="s">
        <v>159</v>
      </c>
      <c r="I114" s="17" t="s">
        <v>85</v>
      </c>
      <c r="J114" s="17">
        <v>1</v>
      </c>
      <c r="K114" s="19">
        <v>0</v>
      </c>
      <c r="L114" s="17"/>
      <c r="M114" s="17"/>
    </row>
    <row r="115" spans="2:13" ht="25.5" x14ac:dyDescent="0.25">
      <c r="B115" s="19" t="s">
        <v>192</v>
      </c>
      <c r="C115" s="63"/>
      <c r="D115" s="57" t="s">
        <v>136</v>
      </c>
      <c r="E115" s="18" t="s">
        <v>160</v>
      </c>
      <c r="F115" s="27">
        <v>4.0999999999999996</v>
      </c>
      <c r="G115" s="17" t="s">
        <v>637</v>
      </c>
      <c r="H115" s="17" t="s">
        <v>161</v>
      </c>
      <c r="I115" s="17" t="s">
        <v>85</v>
      </c>
      <c r="J115" s="17">
        <v>1</v>
      </c>
      <c r="K115" s="19">
        <v>1</v>
      </c>
      <c r="L115" s="17"/>
      <c r="M115" s="17"/>
    </row>
    <row r="116" spans="2:13" ht="66.75" customHeight="1" x14ac:dyDescent="0.25">
      <c r="B116" s="19" t="s">
        <v>192</v>
      </c>
      <c r="C116" s="63"/>
      <c r="D116" s="57" t="s">
        <v>136</v>
      </c>
      <c r="E116" s="18" t="s">
        <v>162</v>
      </c>
      <c r="F116" s="17">
        <v>4.1100000000000003</v>
      </c>
      <c r="G116" s="17" t="s">
        <v>638</v>
      </c>
      <c r="H116" s="17" t="s">
        <v>163</v>
      </c>
      <c r="I116" s="17" t="s">
        <v>85</v>
      </c>
      <c r="J116" s="17">
        <v>1</v>
      </c>
      <c r="K116" s="19">
        <v>0</v>
      </c>
      <c r="L116" s="17"/>
      <c r="M116" s="17"/>
    </row>
    <row r="117" spans="2:13" ht="52.5" customHeight="1" x14ac:dyDescent="0.25">
      <c r="B117" s="19" t="s">
        <v>192</v>
      </c>
      <c r="C117" s="63"/>
      <c r="D117" s="57" t="s">
        <v>136</v>
      </c>
      <c r="E117" s="18" t="s">
        <v>164</v>
      </c>
      <c r="F117" s="17">
        <v>4.12</v>
      </c>
      <c r="G117" s="17" t="s">
        <v>639</v>
      </c>
      <c r="H117" s="17" t="s">
        <v>165</v>
      </c>
      <c r="I117" s="17" t="s">
        <v>85</v>
      </c>
      <c r="J117" s="17">
        <v>1</v>
      </c>
      <c r="K117" s="19">
        <v>0.5</v>
      </c>
      <c r="L117" s="17"/>
      <c r="M117" s="17" t="s">
        <v>532</v>
      </c>
    </row>
    <row r="118" spans="2:13" ht="39" thickBot="1" x14ac:dyDescent="0.3">
      <c r="B118" s="69" t="s">
        <v>192</v>
      </c>
      <c r="C118" s="70"/>
      <c r="D118" s="71" t="s">
        <v>136</v>
      </c>
      <c r="E118" s="72" t="s">
        <v>166</v>
      </c>
      <c r="F118" s="73">
        <v>4.13</v>
      </c>
      <c r="G118" s="73" t="s">
        <v>640</v>
      </c>
      <c r="H118" s="73" t="s">
        <v>167</v>
      </c>
      <c r="I118" s="73" t="s">
        <v>85</v>
      </c>
      <c r="J118" s="73">
        <v>1</v>
      </c>
      <c r="K118" s="69">
        <v>0</v>
      </c>
      <c r="L118" s="73"/>
      <c r="M118" s="73"/>
    </row>
    <row r="119" spans="2:13" ht="51.75" thickTop="1" x14ac:dyDescent="0.25">
      <c r="B119" s="52" t="s">
        <v>189</v>
      </c>
      <c r="C119" s="65"/>
      <c r="D119" s="59" t="s">
        <v>6</v>
      </c>
      <c r="E119" s="51" t="s">
        <v>7</v>
      </c>
      <c r="F119" s="50">
        <v>1.1000000000000001</v>
      </c>
      <c r="G119" s="50" t="s">
        <v>618</v>
      </c>
      <c r="H119" s="50" t="s">
        <v>8</v>
      </c>
      <c r="I119" s="50" t="s">
        <v>9</v>
      </c>
      <c r="J119" s="50">
        <v>2</v>
      </c>
      <c r="K119" s="66">
        <v>2</v>
      </c>
      <c r="L119" s="67"/>
      <c r="M119" s="68"/>
    </row>
    <row r="120" spans="2:13" ht="51" x14ac:dyDescent="0.25">
      <c r="B120" s="19" t="s">
        <v>189</v>
      </c>
      <c r="C120" s="60"/>
      <c r="D120" s="57" t="s">
        <v>6</v>
      </c>
      <c r="E120" s="18" t="s">
        <v>10</v>
      </c>
      <c r="F120" s="17">
        <v>1.1000000000000001</v>
      </c>
      <c r="G120" s="17" t="s">
        <v>618</v>
      </c>
      <c r="H120" s="17" t="s">
        <v>11</v>
      </c>
      <c r="I120" s="17" t="s">
        <v>9</v>
      </c>
      <c r="J120" s="17">
        <v>2</v>
      </c>
      <c r="K120" s="29">
        <v>2</v>
      </c>
      <c r="L120" s="30"/>
      <c r="M120" s="32" t="s">
        <v>314</v>
      </c>
    </row>
    <row r="121" spans="2:13" ht="51" x14ac:dyDescent="0.25">
      <c r="B121" s="19" t="s">
        <v>189</v>
      </c>
      <c r="C121" s="60"/>
      <c r="D121" s="57" t="s">
        <v>6</v>
      </c>
      <c r="E121" s="18" t="s">
        <v>12</v>
      </c>
      <c r="F121" s="17">
        <v>1.1000000000000001</v>
      </c>
      <c r="G121" s="17" t="s">
        <v>618</v>
      </c>
      <c r="H121" s="17" t="s">
        <v>13</v>
      </c>
      <c r="I121" s="17" t="s">
        <v>9</v>
      </c>
      <c r="J121" s="17">
        <v>2</v>
      </c>
      <c r="K121" s="29">
        <v>1</v>
      </c>
      <c r="L121" s="30" t="s">
        <v>580</v>
      </c>
      <c r="M121" s="31" t="s">
        <v>314</v>
      </c>
    </row>
    <row r="122" spans="2:13" ht="89.25" x14ac:dyDescent="0.25">
      <c r="B122" s="19" t="s">
        <v>189</v>
      </c>
      <c r="C122" s="60"/>
      <c r="D122" s="57" t="s">
        <v>6</v>
      </c>
      <c r="E122" s="18" t="s">
        <v>14</v>
      </c>
      <c r="F122" s="17">
        <v>1.2</v>
      </c>
      <c r="G122" s="17" t="s">
        <v>619</v>
      </c>
      <c r="H122" s="17" t="s">
        <v>15</v>
      </c>
      <c r="I122" s="17" t="s">
        <v>16</v>
      </c>
      <c r="J122" s="17">
        <v>3</v>
      </c>
      <c r="K122" s="29">
        <v>3</v>
      </c>
      <c r="L122" s="30" t="s">
        <v>315</v>
      </c>
      <c r="M122" s="31" t="s">
        <v>314</v>
      </c>
    </row>
    <row r="123" spans="2:13" ht="89.25" x14ac:dyDescent="0.25">
      <c r="B123" s="19" t="s">
        <v>189</v>
      </c>
      <c r="C123" s="60"/>
      <c r="D123" s="57" t="s">
        <v>6</v>
      </c>
      <c r="E123" s="18" t="s">
        <v>17</v>
      </c>
      <c r="F123" s="17">
        <v>1.2</v>
      </c>
      <c r="G123" s="17" t="s">
        <v>619</v>
      </c>
      <c r="H123" s="17" t="s">
        <v>18</v>
      </c>
      <c r="I123" s="17" t="s">
        <v>16</v>
      </c>
      <c r="J123" s="17">
        <v>3</v>
      </c>
      <c r="K123" s="29">
        <v>3</v>
      </c>
      <c r="L123" s="30" t="s">
        <v>315</v>
      </c>
      <c r="M123" s="31" t="s">
        <v>314</v>
      </c>
    </row>
    <row r="124" spans="2:13" ht="89.25" x14ac:dyDescent="0.25">
      <c r="B124" s="19" t="s">
        <v>189</v>
      </c>
      <c r="C124" s="60"/>
      <c r="D124" s="57" t="s">
        <v>6</v>
      </c>
      <c r="E124" s="18" t="s">
        <v>19</v>
      </c>
      <c r="F124" s="17">
        <v>1.2</v>
      </c>
      <c r="G124" s="17" t="s">
        <v>619</v>
      </c>
      <c r="H124" s="17" t="s">
        <v>20</v>
      </c>
      <c r="I124" s="17" t="s">
        <v>16</v>
      </c>
      <c r="J124" s="17">
        <v>3</v>
      </c>
      <c r="K124" s="29">
        <v>3</v>
      </c>
      <c r="L124" s="30" t="s">
        <v>315</v>
      </c>
      <c r="M124" s="31" t="s">
        <v>314</v>
      </c>
    </row>
    <row r="125" spans="2:13" ht="50.25" customHeight="1" x14ac:dyDescent="0.25">
      <c r="B125" s="19" t="s">
        <v>189</v>
      </c>
      <c r="C125" s="60"/>
      <c r="D125" s="57" t="s">
        <v>6</v>
      </c>
      <c r="E125" s="18" t="s">
        <v>21</v>
      </c>
      <c r="F125" s="17">
        <v>1.3</v>
      </c>
      <c r="G125" s="17" t="s">
        <v>620</v>
      </c>
      <c r="H125" s="17" t="s">
        <v>22</v>
      </c>
      <c r="I125" s="17" t="s">
        <v>23</v>
      </c>
      <c r="J125" s="17">
        <v>2</v>
      </c>
      <c r="K125" s="29">
        <v>2</v>
      </c>
      <c r="L125" s="30"/>
      <c r="M125" s="31" t="s">
        <v>314</v>
      </c>
    </row>
    <row r="126" spans="2:13" ht="76.5" customHeight="1" x14ac:dyDescent="0.25">
      <c r="B126" s="19" t="s">
        <v>189</v>
      </c>
      <c r="C126" s="60"/>
      <c r="D126" s="57" t="s">
        <v>6</v>
      </c>
      <c r="E126" s="18" t="s">
        <v>24</v>
      </c>
      <c r="F126" s="17">
        <v>1.4</v>
      </c>
      <c r="G126" s="17" t="s">
        <v>641</v>
      </c>
      <c r="H126" s="17" t="s">
        <v>25</v>
      </c>
      <c r="I126" s="17" t="s">
        <v>26</v>
      </c>
      <c r="J126" s="17">
        <v>2</v>
      </c>
      <c r="K126" s="29">
        <v>1</v>
      </c>
      <c r="L126" s="17" t="s">
        <v>579</v>
      </c>
      <c r="M126" s="32" t="s">
        <v>428</v>
      </c>
    </row>
    <row r="127" spans="2:13" ht="89.25" x14ac:dyDescent="0.25">
      <c r="B127" s="19" t="s">
        <v>189</v>
      </c>
      <c r="C127" s="60"/>
      <c r="D127" s="57" t="s">
        <v>6</v>
      </c>
      <c r="E127" s="18" t="s">
        <v>27</v>
      </c>
      <c r="F127" s="17">
        <v>1.5</v>
      </c>
      <c r="G127" s="17" t="s">
        <v>641</v>
      </c>
      <c r="H127" s="17" t="s">
        <v>28</v>
      </c>
      <c r="I127" s="17" t="s">
        <v>29</v>
      </c>
      <c r="J127" s="17">
        <v>3</v>
      </c>
      <c r="K127" s="29">
        <v>3</v>
      </c>
      <c r="L127" s="17" t="s">
        <v>316</v>
      </c>
      <c r="M127" s="31" t="s">
        <v>314</v>
      </c>
    </row>
    <row r="128" spans="2:13" ht="89.25" x14ac:dyDescent="0.25">
      <c r="B128" s="19" t="s">
        <v>189</v>
      </c>
      <c r="C128" s="60"/>
      <c r="D128" s="57" t="s">
        <v>6</v>
      </c>
      <c r="E128" s="18" t="s">
        <v>30</v>
      </c>
      <c r="F128" s="17">
        <v>1.5</v>
      </c>
      <c r="G128" s="17" t="s">
        <v>641</v>
      </c>
      <c r="H128" s="17" t="s">
        <v>31</v>
      </c>
      <c r="I128" s="17" t="s">
        <v>29</v>
      </c>
      <c r="J128" s="17">
        <v>3</v>
      </c>
      <c r="K128" s="29">
        <v>3</v>
      </c>
      <c r="L128" s="30" t="s">
        <v>316</v>
      </c>
      <c r="M128" s="31" t="s">
        <v>314</v>
      </c>
    </row>
    <row r="129" spans="2:13" ht="89.25" x14ac:dyDescent="0.25">
      <c r="B129" s="19" t="s">
        <v>189</v>
      </c>
      <c r="C129" s="60"/>
      <c r="D129" s="57" t="s">
        <v>6</v>
      </c>
      <c r="E129" s="18" t="s">
        <v>32</v>
      </c>
      <c r="F129" s="17">
        <v>1.5</v>
      </c>
      <c r="G129" s="17" t="s">
        <v>621</v>
      </c>
      <c r="H129" s="17" t="s">
        <v>33</v>
      </c>
      <c r="I129" s="17" t="s">
        <v>29</v>
      </c>
      <c r="J129" s="17">
        <v>3</v>
      </c>
      <c r="K129" s="29">
        <v>3</v>
      </c>
      <c r="L129" s="30" t="s">
        <v>316</v>
      </c>
      <c r="M129" s="31" t="s">
        <v>314</v>
      </c>
    </row>
    <row r="130" spans="2:13" ht="87.75" customHeight="1" x14ac:dyDescent="0.25">
      <c r="B130" s="19" t="s">
        <v>189</v>
      </c>
      <c r="C130" s="60"/>
      <c r="D130" s="57" t="s">
        <v>6</v>
      </c>
      <c r="E130" s="18" t="s">
        <v>34</v>
      </c>
      <c r="F130" s="17">
        <v>1.6</v>
      </c>
      <c r="G130" s="17" t="s">
        <v>622</v>
      </c>
      <c r="H130" s="17" t="s">
        <v>35</v>
      </c>
      <c r="I130" s="17" t="s">
        <v>36</v>
      </c>
      <c r="J130" s="17">
        <v>3</v>
      </c>
      <c r="K130" s="33">
        <v>1</v>
      </c>
      <c r="L130" s="30" t="s">
        <v>317</v>
      </c>
      <c r="M130" s="31" t="s">
        <v>314</v>
      </c>
    </row>
    <row r="131" spans="2:13" ht="89.25" customHeight="1" x14ac:dyDescent="0.25">
      <c r="B131" s="19" t="s">
        <v>189</v>
      </c>
      <c r="C131" s="60"/>
      <c r="D131" s="57" t="s">
        <v>6</v>
      </c>
      <c r="E131" s="18" t="s">
        <v>37</v>
      </c>
      <c r="F131" s="17">
        <v>1.6</v>
      </c>
      <c r="G131" s="17" t="s">
        <v>622</v>
      </c>
      <c r="H131" s="17" t="s">
        <v>38</v>
      </c>
      <c r="I131" s="17" t="s">
        <v>36</v>
      </c>
      <c r="J131" s="17">
        <v>3</v>
      </c>
      <c r="K131" s="33">
        <v>1</v>
      </c>
      <c r="L131" s="30"/>
      <c r="M131" s="31" t="s">
        <v>314</v>
      </c>
    </row>
    <row r="132" spans="2:13" ht="90.75" customHeight="1" x14ac:dyDescent="0.25">
      <c r="B132" s="19" t="s">
        <v>189</v>
      </c>
      <c r="C132" s="60"/>
      <c r="D132" s="57" t="s">
        <v>6</v>
      </c>
      <c r="E132" s="18" t="s">
        <v>39</v>
      </c>
      <c r="F132" s="17">
        <v>1.6</v>
      </c>
      <c r="G132" s="17" t="s">
        <v>622</v>
      </c>
      <c r="H132" s="17" t="s">
        <v>40</v>
      </c>
      <c r="I132" s="17" t="s">
        <v>36</v>
      </c>
      <c r="J132" s="17">
        <v>3</v>
      </c>
      <c r="K132" s="33">
        <v>1</v>
      </c>
      <c r="L132" s="30"/>
      <c r="M132" s="31" t="s">
        <v>314</v>
      </c>
    </row>
    <row r="133" spans="2:13" ht="105.75" customHeight="1" x14ac:dyDescent="0.25">
      <c r="B133" s="19" t="s">
        <v>189</v>
      </c>
      <c r="C133" s="60"/>
      <c r="D133" s="57" t="s">
        <v>6</v>
      </c>
      <c r="E133" s="18" t="s">
        <v>41</v>
      </c>
      <c r="F133" s="17">
        <v>1.7</v>
      </c>
      <c r="G133" s="17" t="s">
        <v>623</v>
      </c>
      <c r="H133" s="17" t="s">
        <v>42</v>
      </c>
      <c r="I133" s="17" t="s">
        <v>43</v>
      </c>
      <c r="J133" s="17">
        <v>3</v>
      </c>
      <c r="K133" s="33">
        <v>3</v>
      </c>
      <c r="L133" s="34" t="s">
        <v>318</v>
      </c>
      <c r="M133" s="31" t="s">
        <v>314</v>
      </c>
    </row>
    <row r="134" spans="2:13" ht="63" customHeight="1" x14ac:dyDescent="0.25">
      <c r="B134" s="19" t="s">
        <v>189</v>
      </c>
      <c r="C134" s="60"/>
      <c r="D134" s="57" t="s">
        <v>6</v>
      </c>
      <c r="E134" s="18" t="s">
        <v>44</v>
      </c>
      <c r="F134" s="17">
        <v>1.7</v>
      </c>
      <c r="G134" s="17" t="s">
        <v>623</v>
      </c>
      <c r="H134" s="17" t="s">
        <v>45</v>
      </c>
      <c r="I134" s="17" t="s">
        <v>43</v>
      </c>
      <c r="J134" s="17">
        <v>3</v>
      </c>
      <c r="K134" s="33">
        <v>3</v>
      </c>
      <c r="L134" s="30" t="s">
        <v>319</v>
      </c>
      <c r="M134" s="31" t="s">
        <v>314</v>
      </c>
    </row>
    <row r="135" spans="2:13" ht="63.75" customHeight="1" x14ac:dyDescent="0.25">
      <c r="B135" s="19" t="s">
        <v>189</v>
      </c>
      <c r="C135" s="60"/>
      <c r="D135" s="57" t="s">
        <v>6</v>
      </c>
      <c r="E135" s="18" t="s">
        <v>46</v>
      </c>
      <c r="F135" s="17">
        <v>1.7</v>
      </c>
      <c r="G135" s="17" t="s">
        <v>623</v>
      </c>
      <c r="H135" s="17" t="s">
        <v>47</v>
      </c>
      <c r="I135" s="17" t="s">
        <v>43</v>
      </c>
      <c r="J135" s="17">
        <v>3</v>
      </c>
      <c r="K135" s="33">
        <v>2</v>
      </c>
      <c r="L135" s="30" t="s">
        <v>319</v>
      </c>
      <c r="M135" s="31" t="s">
        <v>314</v>
      </c>
    </row>
    <row r="136" spans="2:13" ht="183" customHeight="1" x14ac:dyDescent="0.25">
      <c r="B136" s="19" t="s">
        <v>189</v>
      </c>
      <c r="C136" s="60"/>
      <c r="D136" s="57" t="s">
        <v>6</v>
      </c>
      <c r="E136" s="18" t="s">
        <v>48</v>
      </c>
      <c r="F136" s="17">
        <v>1.8</v>
      </c>
      <c r="G136" s="17" t="s">
        <v>624</v>
      </c>
      <c r="H136" s="17" t="s">
        <v>49</v>
      </c>
      <c r="I136" s="17" t="s">
        <v>50</v>
      </c>
      <c r="J136" s="17">
        <v>2</v>
      </c>
      <c r="K136" s="29">
        <v>2</v>
      </c>
      <c r="L136" s="30" t="s">
        <v>320</v>
      </c>
      <c r="M136" s="31" t="s">
        <v>314</v>
      </c>
    </row>
    <row r="137" spans="2:13" ht="63.75" customHeight="1" x14ac:dyDescent="0.25">
      <c r="B137" s="19" t="s">
        <v>189</v>
      </c>
      <c r="C137" s="60"/>
      <c r="D137" s="57" t="s">
        <v>6</v>
      </c>
      <c r="E137" s="18" t="s">
        <v>51</v>
      </c>
      <c r="F137" s="17">
        <v>1.8</v>
      </c>
      <c r="G137" s="17" t="s">
        <v>624</v>
      </c>
      <c r="H137" s="17" t="s">
        <v>52</v>
      </c>
      <c r="I137" s="17" t="s">
        <v>53</v>
      </c>
      <c r="J137" s="17">
        <v>6</v>
      </c>
      <c r="K137" s="29">
        <v>6</v>
      </c>
      <c r="L137" s="30" t="s">
        <v>606</v>
      </c>
      <c r="M137" s="32" t="s">
        <v>314</v>
      </c>
    </row>
    <row r="138" spans="2:13" ht="116.25" customHeight="1" x14ac:dyDescent="0.25">
      <c r="B138" s="19" t="s">
        <v>189</v>
      </c>
      <c r="C138" s="60"/>
      <c r="D138" s="57" t="s">
        <v>6</v>
      </c>
      <c r="E138" s="18" t="s">
        <v>54</v>
      </c>
      <c r="F138" s="17">
        <v>1.8</v>
      </c>
      <c r="G138" s="17" t="s">
        <v>624</v>
      </c>
      <c r="H138" s="17" t="s">
        <v>55</v>
      </c>
      <c r="I138" s="17" t="s">
        <v>56</v>
      </c>
      <c r="J138" s="17">
        <v>2</v>
      </c>
      <c r="K138" s="29">
        <v>1</v>
      </c>
      <c r="L138" s="30" t="s">
        <v>607</v>
      </c>
      <c r="M138" s="31" t="s">
        <v>314</v>
      </c>
    </row>
    <row r="139" spans="2:13" ht="64.5" customHeight="1" x14ac:dyDescent="0.25">
      <c r="B139" s="19" t="s">
        <v>189</v>
      </c>
      <c r="C139" s="60"/>
      <c r="D139" s="57" t="s">
        <v>6</v>
      </c>
      <c r="E139" s="18" t="s">
        <v>57</v>
      </c>
      <c r="F139" s="17">
        <v>1.9</v>
      </c>
      <c r="G139" s="17" t="s">
        <v>58</v>
      </c>
      <c r="H139" s="17" t="s">
        <v>59</v>
      </c>
      <c r="I139" s="17" t="s">
        <v>60</v>
      </c>
      <c r="J139" s="17">
        <v>2</v>
      </c>
      <c r="K139" s="29">
        <v>2</v>
      </c>
      <c r="L139" s="30" t="s">
        <v>321</v>
      </c>
      <c r="M139" s="31" t="s">
        <v>314</v>
      </c>
    </row>
    <row r="140" spans="2:13" ht="118.5" customHeight="1" x14ac:dyDescent="0.25">
      <c r="B140" s="19" t="s">
        <v>189</v>
      </c>
      <c r="C140" s="60"/>
      <c r="D140" s="57" t="s">
        <v>6</v>
      </c>
      <c r="E140" s="18" t="s">
        <v>61</v>
      </c>
      <c r="F140" s="17">
        <v>1.9</v>
      </c>
      <c r="G140" s="17" t="s">
        <v>58</v>
      </c>
      <c r="H140" s="17" t="s">
        <v>62</v>
      </c>
      <c r="I140" s="17" t="s">
        <v>63</v>
      </c>
      <c r="J140" s="17">
        <v>1</v>
      </c>
      <c r="K140" s="29">
        <v>1</v>
      </c>
      <c r="L140" s="30" t="s">
        <v>322</v>
      </c>
      <c r="M140" s="31" t="s">
        <v>314</v>
      </c>
    </row>
    <row r="141" spans="2:13" ht="68.25" customHeight="1" x14ac:dyDescent="0.25">
      <c r="B141" s="19" t="s">
        <v>189</v>
      </c>
      <c r="C141" s="60"/>
      <c r="D141" s="57" t="s">
        <v>6</v>
      </c>
      <c r="E141" s="18" t="s">
        <v>64</v>
      </c>
      <c r="F141" s="17">
        <v>1.9</v>
      </c>
      <c r="G141" s="17" t="s">
        <v>58</v>
      </c>
      <c r="H141" s="17" t="s">
        <v>65</v>
      </c>
      <c r="I141" s="17" t="s">
        <v>66</v>
      </c>
      <c r="J141" s="17">
        <v>2</v>
      </c>
      <c r="K141" s="29">
        <v>2</v>
      </c>
      <c r="L141" s="30"/>
      <c r="M141" s="31" t="s">
        <v>314</v>
      </c>
    </row>
    <row r="142" spans="2:13" ht="76.5" x14ac:dyDescent="0.25">
      <c r="B142" s="19" t="s">
        <v>189</v>
      </c>
      <c r="C142" s="61"/>
      <c r="D142" s="57" t="s">
        <v>67</v>
      </c>
      <c r="E142" s="18" t="s">
        <v>68</v>
      </c>
      <c r="F142" s="17">
        <v>2.1</v>
      </c>
      <c r="G142" s="17" t="s">
        <v>642</v>
      </c>
      <c r="H142" s="17" t="s">
        <v>69</v>
      </c>
      <c r="I142" s="17" t="s">
        <v>70</v>
      </c>
      <c r="J142" s="17">
        <v>2</v>
      </c>
      <c r="K142" s="19">
        <v>2</v>
      </c>
      <c r="L142" s="17"/>
      <c r="M142" s="20" t="s">
        <v>314</v>
      </c>
    </row>
    <row r="143" spans="2:13" ht="88.5" customHeight="1" x14ac:dyDescent="0.25">
      <c r="B143" s="19" t="s">
        <v>189</v>
      </c>
      <c r="C143" s="61"/>
      <c r="D143" s="57" t="s">
        <v>71</v>
      </c>
      <c r="E143" s="18" t="s">
        <v>72</v>
      </c>
      <c r="F143" s="17">
        <v>2.2000000000000002</v>
      </c>
      <c r="G143" s="17" t="s">
        <v>73</v>
      </c>
      <c r="H143" s="17" t="s">
        <v>74</v>
      </c>
      <c r="I143" s="17" t="s">
        <v>75</v>
      </c>
      <c r="J143" s="17">
        <v>3</v>
      </c>
      <c r="K143" s="19">
        <v>2</v>
      </c>
      <c r="L143" s="17" t="s">
        <v>424</v>
      </c>
      <c r="M143" s="20" t="s">
        <v>314</v>
      </c>
    </row>
    <row r="144" spans="2:13" ht="91.5" customHeight="1" x14ac:dyDescent="0.25">
      <c r="B144" s="19" t="s">
        <v>189</v>
      </c>
      <c r="C144" s="61"/>
      <c r="D144" s="57" t="s">
        <v>71</v>
      </c>
      <c r="E144" s="18" t="s">
        <v>76</v>
      </c>
      <c r="F144" s="17">
        <v>2.2999999999999998</v>
      </c>
      <c r="G144" s="17" t="s">
        <v>77</v>
      </c>
      <c r="H144" s="17" t="s">
        <v>78</v>
      </c>
      <c r="I144" s="17" t="s">
        <v>75</v>
      </c>
      <c r="J144" s="17">
        <v>3</v>
      </c>
      <c r="K144" s="19">
        <v>2</v>
      </c>
      <c r="L144" s="17" t="s">
        <v>425</v>
      </c>
      <c r="M144" s="20" t="s">
        <v>314</v>
      </c>
    </row>
    <row r="145" spans="2:13" ht="90" customHeight="1" x14ac:dyDescent="0.25">
      <c r="B145" s="19" t="s">
        <v>189</v>
      </c>
      <c r="C145" s="61"/>
      <c r="D145" s="57" t="s">
        <v>71</v>
      </c>
      <c r="E145" s="18" t="s">
        <v>79</v>
      </c>
      <c r="F145" s="17">
        <v>2.4</v>
      </c>
      <c r="G145" s="17" t="s">
        <v>80</v>
      </c>
      <c r="H145" s="17" t="s">
        <v>81</v>
      </c>
      <c r="I145" s="17" t="s">
        <v>75</v>
      </c>
      <c r="J145" s="17">
        <v>3</v>
      </c>
      <c r="K145" s="19">
        <v>3</v>
      </c>
      <c r="L145" s="17" t="s">
        <v>224</v>
      </c>
      <c r="M145" s="20" t="s">
        <v>314</v>
      </c>
    </row>
    <row r="146" spans="2:13" ht="36.75" customHeight="1" x14ac:dyDescent="0.25">
      <c r="B146" s="19" t="s">
        <v>189</v>
      </c>
      <c r="C146" s="61"/>
      <c r="D146" s="57" t="s">
        <v>67</v>
      </c>
      <c r="E146" s="18" t="s">
        <v>82</v>
      </c>
      <c r="F146" s="17">
        <v>2.5</v>
      </c>
      <c r="G146" s="17" t="s">
        <v>83</v>
      </c>
      <c r="H146" s="17" t="s">
        <v>84</v>
      </c>
      <c r="I146" s="17" t="s">
        <v>85</v>
      </c>
      <c r="J146" s="17">
        <v>1</v>
      </c>
      <c r="K146" s="19">
        <v>0</v>
      </c>
      <c r="L146" s="17" t="s">
        <v>426</v>
      </c>
      <c r="M146" s="20" t="s">
        <v>314</v>
      </c>
    </row>
    <row r="147" spans="2:13" ht="102" x14ac:dyDescent="0.25">
      <c r="B147" s="19" t="s">
        <v>189</v>
      </c>
      <c r="C147" s="61"/>
      <c r="D147" s="57" t="s">
        <v>67</v>
      </c>
      <c r="E147" s="18" t="s">
        <v>86</v>
      </c>
      <c r="F147" s="17">
        <v>2.6</v>
      </c>
      <c r="G147" s="17" t="s">
        <v>625</v>
      </c>
      <c r="H147" s="17" t="s">
        <v>87</v>
      </c>
      <c r="I147" s="17" t="s">
        <v>88</v>
      </c>
      <c r="J147" s="17">
        <v>2</v>
      </c>
      <c r="K147" s="19">
        <v>1</v>
      </c>
      <c r="L147" s="17" t="s">
        <v>615</v>
      </c>
      <c r="M147" s="20" t="s">
        <v>314</v>
      </c>
    </row>
    <row r="148" spans="2:13" ht="64.5" customHeight="1" x14ac:dyDescent="0.25">
      <c r="B148" s="19" t="s">
        <v>189</v>
      </c>
      <c r="C148" s="61"/>
      <c r="D148" s="57" t="s">
        <v>67</v>
      </c>
      <c r="E148" s="18" t="s">
        <v>89</v>
      </c>
      <c r="F148" s="17">
        <v>2.6</v>
      </c>
      <c r="G148" s="17" t="s">
        <v>625</v>
      </c>
      <c r="H148" s="17" t="s">
        <v>90</v>
      </c>
      <c r="I148" s="17" t="s">
        <v>91</v>
      </c>
      <c r="J148" s="17">
        <v>1</v>
      </c>
      <c r="K148" s="19"/>
      <c r="L148" s="17"/>
      <c r="M148" s="20" t="s">
        <v>314</v>
      </c>
    </row>
    <row r="149" spans="2:13" ht="37.5" customHeight="1" x14ac:dyDescent="0.25">
      <c r="B149" s="19" t="s">
        <v>189</v>
      </c>
      <c r="C149" s="61"/>
      <c r="D149" s="57" t="s">
        <v>92</v>
      </c>
      <c r="E149" s="18" t="s">
        <v>93</v>
      </c>
      <c r="F149" s="17">
        <v>2.7</v>
      </c>
      <c r="G149" s="17" t="s">
        <v>626</v>
      </c>
      <c r="H149" s="17" t="s">
        <v>94</v>
      </c>
      <c r="I149" s="17" t="s">
        <v>85</v>
      </c>
      <c r="J149" s="17">
        <v>1</v>
      </c>
      <c r="K149" s="19">
        <v>0</v>
      </c>
      <c r="L149" s="17" t="s">
        <v>427</v>
      </c>
      <c r="M149" s="20" t="s">
        <v>428</v>
      </c>
    </row>
    <row r="150" spans="2:13" ht="102" x14ac:dyDescent="0.25">
      <c r="B150" s="19" t="s">
        <v>189</v>
      </c>
      <c r="C150" s="61"/>
      <c r="D150" s="57" t="s">
        <v>92</v>
      </c>
      <c r="E150" s="18" t="s">
        <v>95</v>
      </c>
      <c r="F150" s="17">
        <v>2.8</v>
      </c>
      <c r="G150" s="17" t="s">
        <v>96</v>
      </c>
      <c r="H150" s="17" t="s">
        <v>97</v>
      </c>
      <c r="I150" s="17" t="s">
        <v>98</v>
      </c>
      <c r="J150" s="17">
        <v>3</v>
      </c>
      <c r="K150" s="19">
        <v>3</v>
      </c>
      <c r="L150" s="17"/>
      <c r="M150" s="20" t="s">
        <v>314</v>
      </c>
    </row>
    <row r="151" spans="2:13" ht="38.25" x14ac:dyDescent="0.25">
      <c r="B151" s="19" t="s">
        <v>189</v>
      </c>
      <c r="C151" s="61"/>
      <c r="D151" s="57" t="s">
        <v>92</v>
      </c>
      <c r="E151" s="18" t="s">
        <v>99</v>
      </c>
      <c r="F151" s="17">
        <v>2.9</v>
      </c>
      <c r="G151" s="17" t="s">
        <v>100</v>
      </c>
      <c r="H151" s="17" t="s">
        <v>101</v>
      </c>
      <c r="I151" s="17" t="s">
        <v>85</v>
      </c>
      <c r="J151" s="17">
        <v>1</v>
      </c>
      <c r="K151" s="19">
        <v>1</v>
      </c>
      <c r="L151" s="17" t="s">
        <v>429</v>
      </c>
      <c r="M151" s="20" t="s">
        <v>314</v>
      </c>
    </row>
    <row r="152" spans="2:13" ht="25.5" x14ac:dyDescent="0.25">
      <c r="B152" s="19" t="s">
        <v>189</v>
      </c>
      <c r="C152" s="61"/>
      <c r="D152" s="57" t="s">
        <v>92</v>
      </c>
      <c r="E152" s="18" t="s">
        <v>102</v>
      </c>
      <c r="F152" s="17">
        <v>2.9</v>
      </c>
      <c r="G152" s="17" t="s">
        <v>100</v>
      </c>
      <c r="H152" s="17" t="s">
        <v>103</v>
      </c>
      <c r="I152" s="17" t="s">
        <v>85</v>
      </c>
      <c r="J152" s="17">
        <v>1</v>
      </c>
      <c r="K152" s="19">
        <v>0</v>
      </c>
      <c r="L152" s="17"/>
      <c r="M152" s="20" t="s">
        <v>314</v>
      </c>
    </row>
    <row r="153" spans="2:13" ht="38.25" x14ac:dyDescent="0.25">
      <c r="B153" s="19" t="s">
        <v>189</v>
      </c>
      <c r="C153" s="61"/>
      <c r="D153" s="57" t="s">
        <v>92</v>
      </c>
      <c r="E153" s="18" t="s">
        <v>104</v>
      </c>
      <c r="F153" s="17">
        <v>2.9</v>
      </c>
      <c r="G153" s="17" t="s">
        <v>100</v>
      </c>
      <c r="H153" s="17" t="s">
        <v>105</v>
      </c>
      <c r="I153" s="17" t="s">
        <v>85</v>
      </c>
      <c r="J153" s="17">
        <v>1</v>
      </c>
      <c r="K153" s="19">
        <v>0</v>
      </c>
      <c r="L153" s="17"/>
      <c r="M153" s="20" t="s">
        <v>314</v>
      </c>
    </row>
    <row r="154" spans="2:13" ht="38.25" customHeight="1" x14ac:dyDescent="0.25">
      <c r="B154" s="19" t="s">
        <v>189</v>
      </c>
      <c r="C154" s="62"/>
      <c r="D154" s="57" t="s">
        <v>106</v>
      </c>
      <c r="E154" s="18" t="s">
        <v>107</v>
      </c>
      <c r="F154" s="17">
        <v>3.1</v>
      </c>
      <c r="G154" s="17" t="s">
        <v>108</v>
      </c>
      <c r="H154" s="17" t="s">
        <v>109</v>
      </c>
      <c r="I154" s="17" t="s">
        <v>110</v>
      </c>
      <c r="J154" s="17">
        <v>1</v>
      </c>
      <c r="K154" s="19">
        <v>1</v>
      </c>
      <c r="L154" s="17"/>
      <c r="M154" s="35" t="s">
        <v>478</v>
      </c>
    </row>
    <row r="155" spans="2:13" ht="51" x14ac:dyDescent="0.25">
      <c r="B155" s="19" t="s">
        <v>189</v>
      </c>
      <c r="C155" s="62"/>
      <c r="D155" s="57" t="s">
        <v>111</v>
      </c>
      <c r="E155" s="18" t="s">
        <v>112</v>
      </c>
      <c r="F155" s="17">
        <v>3.2</v>
      </c>
      <c r="G155" s="17" t="s">
        <v>113</v>
      </c>
      <c r="H155" s="17" t="s">
        <v>114</v>
      </c>
      <c r="I155" s="17" t="s">
        <v>115</v>
      </c>
      <c r="J155" s="17">
        <v>1</v>
      </c>
      <c r="K155" s="19">
        <v>0.5</v>
      </c>
      <c r="L155" s="17" t="s">
        <v>479</v>
      </c>
      <c r="M155" s="35" t="s">
        <v>478</v>
      </c>
    </row>
    <row r="156" spans="2:13" ht="49.5" customHeight="1" x14ac:dyDescent="0.25">
      <c r="B156" s="19" t="s">
        <v>189</v>
      </c>
      <c r="C156" s="62"/>
      <c r="D156" s="57" t="s">
        <v>111</v>
      </c>
      <c r="E156" s="18" t="s">
        <v>116</v>
      </c>
      <c r="F156" s="17">
        <v>3.2</v>
      </c>
      <c r="G156" s="17" t="s">
        <v>113</v>
      </c>
      <c r="H156" s="17" t="s">
        <v>117</v>
      </c>
      <c r="I156" s="17" t="s">
        <v>115</v>
      </c>
      <c r="J156" s="17">
        <v>1</v>
      </c>
      <c r="K156" s="19">
        <v>0.5</v>
      </c>
      <c r="L156" s="17" t="s">
        <v>479</v>
      </c>
      <c r="M156" s="35" t="s">
        <v>478</v>
      </c>
    </row>
    <row r="157" spans="2:13" ht="51" x14ac:dyDescent="0.25">
      <c r="B157" s="19" t="s">
        <v>189</v>
      </c>
      <c r="C157" s="62"/>
      <c r="D157" s="57" t="s">
        <v>111</v>
      </c>
      <c r="E157" s="18" t="s">
        <v>118</v>
      </c>
      <c r="F157" s="17">
        <v>3.2</v>
      </c>
      <c r="G157" s="17" t="s">
        <v>113</v>
      </c>
      <c r="H157" s="17" t="s">
        <v>119</v>
      </c>
      <c r="I157" s="17" t="s">
        <v>115</v>
      </c>
      <c r="J157" s="17">
        <v>1</v>
      </c>
      <c r="K157" s="19">
        <v>0.5</v>
      </c>
      <c r="L157" s="17" t="s">
        <v>479</v>
      </c>
      <c r="M157" s="35" t="s">
        <v>478</v>
      </c>
    </row>
    <row r="158" spans="2:13" ht="92.25" customHeight="1" x14ac:dyDescent="0.25">
      <c r="B158" s="19" t="s">
        <v>189</v>
      </c>
      <c r="C158" s="62"/>
      <c r="D158" s="57" t="s">
        <v>111</v>
      </c>
      <c r="E158" s="18" t="s">
        <v>120</v>
      </c>
      <c r="F158" s="17">
        <v>3.3</v>
      </c>
      <c r="G158" s="17" t="s">
        <v>627</v>
      </c>
      <c r="H158" s="17" t="s">
        <v>121</v>
      </c>
      <c r="I158" s="17" t="s">
        <v>122</v>
      </c>
      <c r="J158" s="17">
        <v>1</v>
      </c>
      <c r="K158" s="19">
        <v>1</v>
      </c>
      <c r="L158" s="17"/>
      <c r="M158" s="35" t="s">
        <v>478</v>
      </c>
    </row>
    <row r="159" spans="2:13" ht="53.25" customHeight="1" x14ac:dyDescent="0.25">
      <c r="B159" s="19" t="s">
        <v>189</v>
      </c>
      <c r="C159" s="62"/>
      <c r="D159" s="57" t="s">
        <v>111</v>
      </c>
      <c r="E159" s="18" t="s">
        <v>123</v>
      </c>
      <c r="F159" s="17">
        <v>3.4</v>
      </c>
      <c r="G159" s="17" t="s">
        <v>628</v>
      </c>
      <c r="H159" s="17" t="s">
        <v>124</v>
      </c>
      <c r="I159" s="17" t="s">
        <v>115</v>
      </c>
      <c r="J159" s="17">
        <v>1</v>
      </c>
      <c r="K159" s="19">
        <v>0</v>
      </c>
      <c r="L159" s="17"/>
      <c r="M159" s="35" t="s">
        <v>478</v>
      </c>
    </row>
    <row r="160" spans="2:13" ht="95.25" customHeight="1" x14ac:dyDescent="0.25">
      <c r="B160" s="19" t="s">
        <v>189</v>
      </c>
      <c r="C160" s="62"/>
      <c r="D160" s="57" t="s">
        <v>125</v>
      </c>
      <c r="E160" s="18" t="s">
        <v>126</v>
      </c>
      <c r="F160" s="17">
        <v>3.5</v>
      </c>
      <c r="G160" s="17" t="s">
        <v>127</v>
      </c>
      <c r="H160" s="17" t="s">
        <v>128</v>
      </c>
      <c r="I160" s="17" t="s">
        <v>129</v>
      </c>
      <c r="J160" s="17">
        <v>1</v>
      </c>
      <c r="K160" s="19">
        <v>1</v>
      </c>
      <c r="L160" s="36" t="s">
        <v>480</v>
      </c>
      <c r="M160" s="35" t="s">
        <v>478</v>
      </c>
    </row>
    <row r="161" spans="2:13" ht="52.5" customHeight="1" x14ac:dyDescent="0.25">
      <c r="B161" s="19" t="s">
        <v>189</v>
      </c>
      <c r="C161" s="62"/>
      <c r="D161" s="57" t="s">
        <v>130</v>
      </c>
      <c r="E161" s="18" t="s">
        <v>131</v>
      </c>
      <c r="F161" s="17">
        <v>3.6</v>
      </c>
      <c r="G161" s="17" t="s">
        <v>255</v>
      </c>
      <c r="H161" s="17" t="s">
        <v>132</v>
      </c>
      <c r="I161" s="17" t="s">
        <v>115</v>
      </c>
      <c r="J161" s="17">
        <v>1</v>
      </c>
      <c r="K161" s="19">
        <v>1</v>
      </c>
      <c r="L161" s="17"/>
      <c r="M161" s="35" t="s">
        <v>478</v>
      </c>
    </row>
    <row r="162" spans="2:13" ht="49.5" customHeight="1" x14ac:dyDescent="0.25">
      <c r="B162" s="19" t="s">
        <v>189</v>
      </c>
      <c r="C162" s="62"/>
      <c r="D162" s="57" t="s">
        <v>130</v>
      </c>
      <c r="E162" s="18" t="s">
        <v>133</v>
      </c>
      <c r="F162" s="17">
        <v>3.7</v>
      </c>
      <c r="G162" s="17" t="s">
        <v>260</v>
      </c>
      <c r="H162" s="17" t="s">
        <v>134</v>
      </c>
      <c r="I162" s="17" t="s">
        <v>135</v>
      </c>
      <c r="J162" s="17">
        <v>1</v>
      </c>
      <c r="K162" s="19">
        <v>1</v>
      </c>
      <c r="L162" s="17"/>
      <c r="M162" s="35" t="s">
        <v>478</v>
      </c>
    </row>
    <row r="163" spans="2:13" ht="51" customHeight="1" x14ac:dyDescent="0.25">
      <c r="B163" s="19" t="s">
        <v>189</v>
      </c>
      <c r="C163" s="63"/>
      <c r="D163" s="57" t="s">
        <v>136</v>
      </c>
      <c r="E163" s="18" t="s">
        <v>137</v>
      </c>
      <c r="F163" s="17">
        <v>4.0999999999999996</v>
      </c>
      <c r="G163" s="17" t="s">
        <v>629</v>
      </c>
      <c r="H163" s="17" t="s">
        <v>138</v>
      </c>
      <c r="I163" s="17" t="s">
        <v>85</v>
      </c>
      <c r="J163" s="17">
        <v>1</v>
      </c>
      <c r="K163" s="19">
        <v>0</v>
      </c>
      <c r="L163" s="17"/>
      <c r="M163" s="37" t="s">
        <v>426</v>
      </c>
    </row>
    <row r="164" spans="2:13" ht="51" x14ac:dyDescent="0.25">
      <c r="B164" s="19" t="s">
        <v>189</v>
      </c>
      <c r="C164" s="63"/>
      <c r="D164" s="57" t="s">
        <v>139</v>
      </c>
      <c r="E164" s="18" t="s">
        <v>140</v>
      </c>
      <c r="F164" s="17">
        <v>4.2</v>
      </c>
      <c r="G164" s="17" t="s">
        <v>630</v>
      </c>
      <c r="H164" s="17" t="s">
        <v>141</v>
      </c>
      <c r="I164" s="17" t="s">
        <v>142</v>
      </c>
      <c r="J164" s="17">
        <v>2</v>
      </c>
      <c r="K164" s="19">
        <v>0</v>
      </c>
      <c r="L164" s="17"/>
      <c r="M164" s="37" t="s">
        <v>533</v>
      </c>
    </row>
    <row r="165" spans="2:13" ht="51" customHeight="1" x14ac:dyDescent="0.25">
      <c r="B165" s="19" t="s">
        <v>189</v>
      </c>
      <c r="C165" s="63"/>
      <c r="D165" s="57" t="s">
        <v>139</v>
      </c>
      <c r="E165" s="18" t="s">
        <v>143</v>
      </c>
      <c r="F165" s="17">
        <v>4.3</v>
      </c>
      <c r="G165" s="17" t="s">
        <v>631</v>
      </c>
      <c r="H165" s="17" t="s">
        <v>144</v>
      </c>
      <c r="I165" s="17" t="s">
        <v>142</v>
      </c>
      <c r="J165" s="17">
        <v>2</v>
      </c>
      <c r="K165" s="19">
        <v>0</v>
      </c>
      <c r="L165" s="17" t="s">
        <v>535</v>
      </c>
      <c r="M165" s="37" t="s">
        <v>533</v>
      </c>
    </row>
    <row r="166" spans="2:13" ht="132.75" customHeight="1" x14ac:dyDescent="0.25">
      <c r="B166" s="19" t="s">
        <v>189</v>
      </c>
      <c r="C166" s="63"/>
      <c r="D166" s="57" t="s">
        <v>139</v>
      </c>
      <c r="E166" s="18" t="s">
        <v>145</v>
      </c>
      <c r="F166" s="17">
        <v>4.4000000000000004</v>
      </c>
      <c r="G166" s="17" t="s">
        <v>632</v>
      </c>
      <c r="H166" s="17" t="s">
        <v>146</v>
      </c>
      <c r="I166" s="17" t="s">
        <v>147</v>
      </c>
      <c r="J166" s="17">
        <v>7</v>
      </c>
      <c r="K166" s="19">
        <v>6</v>
      </c>
      <c r="L166" s="17" t="s">
        <v>534</v>
      </c>
      <c r="M166" s="37" t="s">
        <v>533</v>
      </c>
    </row>
    <row r="167" spans="2:13" ht="48.75" customHeight="1" x14ac:dyDescent="0.25">
      <c r="B167" s="19" t="s">
        <v>189</v>
      </c>
      <c r="C167" s="63"/>
      <c r="D167" s="57" t="s">
        <v>148</v>
      </c>
      <c r="E167" s="18" t="s">
        <v>149</v>
      </c>
      <c r="F167" s="17">
        <v>4.5</v>
      </c>
      <c r="G167" s="17" t="s">
        <v>633</v>
      </c>
      <c r="H167" s="17" t="s">
        <v>150</v>
      </c>
      <c r="I167" s="17" t="s">
        <v>115</v>
      </c>
      <c r="J167" s="17">
        <v>1</v>
      </c>
      <c r="K167" s="19">
        <v>1</v>
      </c>
      <c r="L167" s="17"/>
      <c r="M167" s="37" t="s">
        <v>426</v>
      </c>
    </row>
    <row r="168" spans="2:13" ht="48.75" customHeight="1" x14ac:dyDescent="0.25">
      <c r="B168" s="19" t="s">
        <v>189</v>
      </c>
      <c r="C168" s="63"/>
      <c r="D168" s="57" t="s">
        <v>148</v>
      </c>
      <c r="E168" s="18" t="s">
        <v>151</v>
      </c>
      <c r="F168" s="17">
        <v>4.5999999999999996</v>
      </c>
      <c r="G168" s="17" t="s">
        <v>634</v>
      </c>
      <c r="H168" s="17" t="s">
        <v>152</v>
      </c>
      <c r="I168" s="17" t="s">
        <v>85</v>
      </c>
      <c r="J168" s="17">
        <v>1</v>
      </c>
      <c r="K168" s="19">
        <v>1</v>
      </c>
      <c r="L168" s="17"/>
      <c r="M168" s="37" t="s">
        <v>426</v>
      </c>
    </row>
    <row r="169" spans="2:13" ht="52.5" customHeight="1" x14ac:dyDescent="0.25">
      <c r="B169" s="19" t="s">
        <v>189</v>
      </c>
      <c r="C169" s="63"/>
      <c r="D169" s="57" t="s">
        <v>148</v>
      </c>
      <c r="E169" s="18" t="s">
        <v>153</v>
      </c>
      <c r="F169" s="17">
        <v>4.7</v>
      </c>
      <c r="G169" s="17" t="s">
        <v>635</v>
      </c>
      <c r="H169" s="17" t="s">
        <v>154</v>
      </c>
      <c r="I169" s="17" t="s">
        <v>85</v>
      </c>
      <c r="J169" s="17">
        <v>1</v>
      </c>
      <c r="K169" s="19">
        <v>0</v>
      </c>
      <c r="L169" s="17"/>
      <c r="M169" s="37" t="s">
        <v>426</v>
      </c>
    </row>
    <row r="170" spans="2:13" ht="48" customHeight="1" x14ac:dyDescent="0.25">
      <c r="B170" s="19" t="s">
        <v>189</v>
      </c>
      <c r="C170" s="63"/>
      <c r="D170" s="57" t="s">
        <v>148</v>
      </c>
      <c r="E170" s="18" t="s">
        <v>155</v>
      </c>
      <c r="F170" s="17">
        <v>4.8</v>
      </c>
      <c r="G170" s="17" t="s">
        <v>156</v>
      </c>
      <c r="H170" s="17" t="s">
        <v>157</v>
      </c>
      <c r="I170" s="17" t="s">
        <v>85</v>
      </c>
      <c r="J170" s="17">
        <v>1</v>
      </c>
      <c r="K170" s="19">
        <v>0</v>
      </c>
      <c r="L170" s="17"/>
      <c r="M170" s="37" t="s">
        <v>426</v>
      </c>
    </row>
    <row r="171" spans="2:13" ht="25.5" x14ac:dyDescent="0.25">
      <c r="B171" s="19" t="s">
        <v>189</v>
      </c>
      <c r="C171" s="63"/>
      <c r="D171" s="57" t="s">
        <v>136</v>
      </c>
      <c r="E171" s="18" t="s">
        <v>158</v>
      </c>
      <c r="F171" s="17">
        <v>4.9000000000000004</v>
      </c>
      <c r="G171" s="17" t="s">
        <v>636</v>
      </c>
      <c r="H171" s="17" t="s">
        <v>159</v>
      </c>
      <c r="I171" s="17" t="s">
        <v>85</v>
      </c>
      <c r="J171" s="17">
        <v>1</v>
      </c>
      <c r="K171" s="19">
        <v>1</v>
      </c>
      <c r="L171" s="17"/>
      <c r="M171" s="37" t="s">
        <v>426</v>
      </c>
    </row>
    <row r="172" spans="2:13" ht="25.5" x14ac:dyDescent="0.25">
      <c r="B172" s="19" t="s">
        <v>189</v>
      </c>
      <c r="C172" s="63"/>
      <c r="D172" s="57" t="s">
        <v>136</v>
      </c>
      <c r="E172" s="18" t="s">
        <v>160</v>
      </c>
      <c r="F172" s="27">
        <v>4.0999999999999996</v>
      </c>
      <c r="G172" s="17" t="s">
        <v>637</v>
      </c>
      <c r="H172" s="17" t="s">
        <v>161</v>
      </c>
      <c r="I172" s="17" t="s">
        <v>85</v>
      </c>
      <c r="J172" s="17">
        <v>1</v>
      </c>
      <c r="K172" s="19">
        <v>1</v>
      </c>
      <c r="L172" s="17"/>
      <c r="M172" s="37" t="s">
        <v>426</v>
      </c>
    </row>
    <row r="173" spans="2:13" ht="65.25" customHeight="1" x14ac:dyDescent="0.25">
      <c r="B173" s="19" t="s">
        <v>189</v>
      </c>
      <c r="C173" s="63"/>
      <c r="D173" s="57" t="s">
        <v>136</v>
      </c>
      <c r="E173" s="18" t="s">
        <v>162</v>
      </c>
      <c r="F173" s="17">
        <v>4.1100000000000003</v>
      </c>
      <c r="G173" s="17" t="s">
        <v>638</v>
      </c>
      <c r="H173" s="17" t="s">
        <v>163</v>
      </c>
      <c r="I173" s="17" t="s">
        <v>85</v>
      </c>
      <c r="J173" s="17">
        <v>1</v>
      </c>
      <c r="K173" s="19">
        <v>0</v>
      </c>
      <c r="L173" s="17"/>
      <c r="M173" s="37" t="s">
        <v>426</v>
      </c>
    </row>
    <row r="174" spans="2:13" ht="51" customHeight="1" x14ac:dyDescent="0.25">
      <c r="B174" s="19" t="s">
        <v>189</v>
      </c>
      <c r="C174" s="63"/>
      <c r="D174" s="57" t="s">
        <v>136</v>
      </c>
      <c r="E174" s="18" t="s">
        <v>164</v>
      </c>
      <c r="F174" s="17">
        <v>4.12</v>
      </c>
      <c r="G174" s="17" t="s">
        <v>639</v>
      </c>
      <c r="H174" s="17" t="s">
        <v>165</v>
      </c>
      <c r="I174" s="17" t="s">
        <v>85</v>
      </c>
      <c r="J174" s="17">
        <v>1</v>
      </c>
      <c r="K174" s="19">
        <v>1</v>
      </c>
      <c r="L174" s="17"/>
      <c r="M174" s="37" t="s">
        <v>426</v>
      </c>
    </row>
    <row r="175" spans="2:13" ht="39" thickBot="1" x14ac:dyDescent="0.3">
      <c r="B175" s="69" t="s">
        <v>189</v>
      </c>
      <c r="C175" s="70"/>
      <c r="D175" s="71" t="s">
        <v>136</v>
      </c>
      <c r="E175" s="72" t="s">
        <v>166</v>
      </c>
      <c r="F175" s="73">
        <v>4.13</v>
      </c>
      <c r="G175" s="73" t="s">
        <v>640</v>
      </c>
      <c r="H175" s="73" t="s">
        <v>167</v>
      </c>
      <c r="I175" s="73" t="s">
        <v>85</v>
      </c>
      <c r="J175" s="73">
        <v>1</v>
      </c>
      <c r="K175" s="69">
        <v>0</v>
      </c>
      <c r="L175" s="73"/>
      <c r="M175" s="74" t="s">
        <v>426</v>
      </c>
    </row>
    <row r="176" spans="2:13" ht="90" thickTop="1" x14ac:dyDescent="0.25">
      <c r="B176" s="52" t="s">
        <v>187</v>
      </c>
      <c r="C176" s="65"/>
      <c r="D176" s="59" t="s">
        <v>6</v>
      </c>
      <c r="E176" s="51" t="s">
        <v>7</v>
      </c>
      <c r="F176" s="50">
        <v>1.1000000000000001</v>
      </c>
      <c r="G176" s="50" t="s">
        <v>618</v>
      </c>
      <c r="H176" s="50" t="s">
        <v>8</v>
      </c>
      <c r="I176" s="50" t="s">
        <v>9</v>
      </c>
      <c r="J176" s="50">
        <v>2</v>
      </c>
      <c r="K176" s="52">
        <v>2</v>
      </c>
      <c r="L176" s="50" t="s">
        <v>323</v>
      </c>
      <c r="M176" s="53" t="s">
        <v>325</v>
      </c>
    </row>
    <row r="177" spans="2:13" ht="89.25" x14ac:dyDescent="0.25">
      <c r="B177" s="19" t="s">
        <v>187</v>
      </c>
      <c r="C177" s="60"/>
      <c r="D177" s="57" t="s">
        <v>6</v>
      </c>
      <c r="E177" s="18" t="s">
        <v>10</v>
      </c>
      <c r="F177" s="17">
        <v>1.1000000000000001</v>
      </c>
      <c r="G177" s="17" t="s">
        <v>618</v>
      </c>
      <c r="H177" s="17" t="s">
        <v>11</v>
      </c>
      <c r="I177" s="17" t="s">
        <v>9</v>
      </c>
      <c r="J177" s="17">
        <v>2</v>
      </c>
      <c r="K177" s="19">
        <v>2</v>
      </c>
      <c r="L177" s="17" t="s">
        <v>323</v>
      </c>
      <c r="M177" s="21" t="s">
        <v>325</v>
      </c>
    </row>
    <row r="178" spans="2:13" ht="102" x14ac:dyDescent="0.25">
      <c r="B178" s="19" t="s">
        <v>187</v>
      </c>
      <c r="C178" s="60"/>
      <c r="D178" s="57" t="s">
        <v>6</v>
      </c>
      <c r="E178" s="18" t="s">
        <v>12</v>
      </c>
      <c r="F178" s="17">
        <v>1.1000000000000001</v>
      </c>
      <c r="G178" s="17" t="s">
        <v>618</v>
      </c>
      <c r="H178" s="17" t="s">
        <v>13</v>
      </c>
      <c r="I178" s="17" t="s">
        <v>9</v>
      </c>
      <c r="J178" s="17">
        <v>2</v>
      </c>
      <c r="K178" s="19">
        <v>1</v>
      </c>
      <c r="L178" s="17" t="s">
        <v>324</v>
      </c>
      <c r="M178" s="21" t="s">
        <v>325</v>
      </c>
    </row>
    <row r="179" spans="2:13" ht="91.5" customHeight="1" x14ac:dyDescent="0.25">
      <c r="B179" s="19" t="s">
        <v>187</v>
      </c>
      <c r="C179" s="60"/>
      <c r="D179" s="57" t="s">
        <v>6</v>
      </c>
      <c r="E179" s="18" t="s">
        <v>14</v>
      </c>
      <c r="F179" s="17">
        <v>1.2</v>
      </c>
      <c r="G179" s="17" t="s">
        <v>619</v>
      </c>
      <c r="H179" s="17" t="s">
        <v>15</v>
      </c>
      <c r="I179" s="17" t="s">
        <v>16</v>
      </c>
      <c r="J179" s="17">
        <v>3</v>
      </c>
      <c r="K179" s="19">
        <v>3</v>
      </c>
      <c r="L179" s="17"/>
      <c r="M179" s="21" t="s">
        <v>326</v>
      </c>
    </row>
    <row r="180" spans="2:13" ht="89.25" x14ac:dyDescent="0.25">
      <c r="B180" s="19" t="s">
        <v>187</v>
      </c>
      <c r="C180" s="60"/>
      <c r="D180" s="57" t="s">
        <v>6</v>
      </c>
      <c r="E180" s="18" t="s">
        <v>17</v>
      </c>
      <c r="F180" s="17">
        <v>1.2</v>
      </c>
      <c r="G180" s="17" t="s">
        <v>619</v>
      </c>
      <c r="H180" s="17" t="s">
        <v>18</v>
      </c>
      <c r="I180" s="17" t="s">
        <v>16</v>
      </c>
      <c r="J180" s="17">
        <v>3</v>
      </c>
      <c r="K180" s="19">
        <v>3</v>
      </c>
      <c r="L180" s="17"/>
      <c r="M180" s="21" t="s">
        <v>326</v>
      </c>
    </row>
    <row r="181" spans="2:13" ht="94.5" customHeight="1" x14ac:dyDescent="0.25">
      <c r="B181" s="19" t="s">
        <v>187</v>
      </c>
      <c r="C181" s="60"/>
      <c r="D181" s="57" t="s">
        <v>6</v>
      </c>
      <c r="E181" s="18" t="s">
        <v>19</v>
      </c>
      <c r="F181" s="17">
        <v>1.2</v>
      </c>
      <c r="G181" s="17" t="s">
        <v>619</v>
      </c>
      <c r="H181" s="17" t="s">
        <v>20</v>
      </c>
      <c r="I181" s="17" t="s">
        <v>16</v>
      </c>
      <c r="J181" s="17">
        <v>3</v>
      </c>
      <c r="K181" s="19">
        <v>3</v>
      </c>
      <c r="L181" s="17"/>
      <c r="M181" s="21" t="s">
        <v>326</v>
      </c>
    </row>
    <row r="182" spans="2:13" ht="81.75" customHeight="1" x14ac:dyDescent="0.25">
      <c r="B182" s="19" t="s">
        <v>187</v>
      </c>
      <c r="C182" s="60"/>
      <c r="D182" s="57" t="s">
        <v>6</v>
      </c>
      <c r="E182" s="18" t="s">
        <v>21</v>
      </c>
      <c r="F182" s="17">
        <v>1.3</v>
      </c>
      <c r="G182" s="17" t="s">
        <v>620</v>
      </c>
      <c r="H182" s="17" t="s">
        <v>22</v>
      </c>
      <c r="I182" s="17" t="s">
        <v>23</v>
      </c>
      <c r="J182" s="17">
        <v>2</v>
      </c>
      <c r="K182" s="19">
        <v>2</v>
      </c>
      <c r="L182" s="17" t="s">
        <v>678</v>
      </c>
      <c r="M182" s="21" t="s">
        <v>331</v>
      </c>
    </row>
    <row r="183" spans="2:13" ht="78" customHeight="1" x14ac:dyDescent="0.25">
      <c r="B183" s="19" t="s">
        <v>187</v>
      </c>
      <c r="C183" s="60"/>
      <c r="D183" s="57" t="s">
        <v>6</v>
      </c>
      <c r="E183" s="18" t="s">
        <v>24</v>
      </c>
      <c r="F183" s="17">
        <v>1.4</v>
      </c>
      <c r="G183" s="17" t="s">
        <v>641</v>
      </c>
      <c r="H183" s="17" t="s">
        <v>25</v>
      </c>
      <c r="I183" s="17" t="s">
        <v>26</v>
      </c>
      <c r="J183" s="17">
        <v>2</v>
      </c>
      <c r="K183" s="24">
        <v>2</v>
      </c>
      <c r="L183" s="38"/>
      <c r="M183" s="21" t="s">
        <v>578</v>
      </c>
    </row>
    <row r="184" spans="2:13" ht="89.25" x14ac:dyDescent="0.25">
      <c r="B184" s="19" t="s">
        <v>187</v>
      </c>
      <c r="C184" s="60"/>
      <c r="D184" s="57" t="s">
        <v>6</v>
      </c>
      <c r="E184" s="18" t="s">
        <v>27</v>
      </c>
      <c r="F184" s="17">
        <v>1.5</v>
      </c>
      <c r="G184" s="17" t="s">
        <v>641</v>
      </c>
      <c r="H184" s="17" t="s">
        <v>28</v>
      </c>
      <c r="I184" s="17" t="s">
        <v>29</v>
      </c>
      <c r="J184" s="17">
        <v>3</v>
      </c>
      <c r="K184" s="19">
        <v>3</v>
      </c>
      <c r="L184" s="17" t="s">
        <v>599</v>
      </c>
      <c r="M184" s="21" t="s">
        <v>332</v>
      </c>
    </row>
    <row r="185" spans="2:13" ht="89.25" x14ac:dyDescent="0.25">
      <c r="B185" s="19" t="s">
        <v>187</v>
      </c>
      <c r="C185" s="60"/>
      <c r="D185" s="57" t="s">
        <v>6</v>
      </c>
      <c r="E185" s="18" t="s">
        <v>30</v>
      </c>
      <c r="F185" s="17">
        <v>1.5</v>
      </c>
      <c r="G185" s="17" t="s">
        <v>641</v>
      </c>
      <c r="H185" s="17" t="s">
        <v>31</v>
      </c>
      <c r="I185" s="17" t="s">
        <v>29</v>
      </c>
      <c r="J185" s="17">
        <v>3</v>
      </c>
      <c r="K185" s="19">
        <v>3</v>
      </c>
      <c r="L185" s="17" t="s">
        <v>599</v>
      </c>
      <c r="M185" s="21" t="s">
        <v>332</v>
      </c>
    </row>
    <row r="186" spans="2:13" ht="90" customHeight="1" x14ac:dyDescent="0.25">
      <c r="B186" s="19" t="s">
        <v>187</v>
      </c>
      <c r="C186" s="60"/>
      <c r="D186" s="57" t="s">
        <v>6</v>
      </c>
      <c r="E186" s="18" t="s">
        <v>32</v>
      </c>
      <c r="F186" s="17">
        <v>1.5</v>
      </c>
      <c r="G186" s="17" t="s">
        <v>621</v>
      </c>
      <c r="H186" s="17" t="s">
        <v>33</v>
      </c>
      <c r="I186" s="17" t="s">
        <v>29</v>
      </c>
      <c r="J186" s="17">
        <v>3</v>
      </c>
      <c r="K186" s="19">
        <v>3</v>
      </c>
      <c r="L186" s="17" t="s">
        <v>599</v>
      </c>
      <c r="M186" s="21" t="s">
        <v>332</v>
      </c>
    </row>
    <row r="187" spans="2:13" ht="93" customHeight="1" x14ac:dyDescent="0.25">
      <c r="B187" s="19" t="s">
        <v>187</v>
      </c>
      <c r="C187" s="60"/>
      <c r="D187" s="57" t="s">
        <v>6</v>
      </c>
      <c r="E187" s="18" t="s">
        <v>34</v>
      </c>
      <c r="F187" s="17">
        <v>1.6</v>
      </c>
      <c r="G187" s="17" t="s">
        <v>622</v>
      </c>
      <c r="H187" s="17" t="s">
        <v>35</v>
      </c>
      <c r="I187" s="17" t="s">
        <v>36</v>
      </c>
      <c r="J187" s="17">
        <v>3</v>
      </c>
      <c r="K187" s="19">
        <v>3</v>
      </c>
      <c r="L187" s="17" t="s">
        <v>327</v>
      </c>
      <c r="M187" s="21" t="s">
        <v>333</v>
      </c>
    </row>
    <row r="188" spans="2:13" ht="90.75" customHeight="1" x14ac:dyDescent="0.25">
      <c r="B188" s="19" t="s">
        <v>187</v>
      </c>
      <c r="C188" s="60"/>
      <c r="D188" s="57" t="s">
        <v>6</v>
      </c>
      <c r="E188" s="18" t="s">
        <v>37</v>
      </c>
      <c r="F188" s="17">
        <v>1.6</v>
      </c>
      <c r="G188" s="17" t="s">
        <v>622</v>
      </c>
      <c r="H188" s="17" t="s">
        <v>38</v>
      </c>
      <c r="I188" s="17" t="s">
        <v>36</v>
      </c>
      <c r="J188" s="17">
        <v>3</v>
      </c>
      <c r="K188" s="19">
        <v>3</v>
      </c>
      <c r="L188" s="17" t="s">
        <v>327</v>
      </c>
      <c r="M188" s="21" t="s">
        <v>333</v>
      </c>
    </row>
    <row r="189" spans="2:13" ht="93.75" customHeight="1" x14ac:dyDescent="0.25">
      <c r="B189" s="19" t="s">
        <v>187</v>
      </c>
      <c r="C189" s="60"/>
      <c r="D189" s="57" t="s">
        <v>6</v>
      </c>
      <c r="E189" s="18" t="s">
        <v>39</v>
      </c>
      <c r="F189" s="17">
        <v>1.6</v>
      </c>
      <c r="G189" s="17" t="s">
        <v>622</v>
      </c>
      <c r="H189" s="17" t="s">
        <v>40</v>
      </c>
      <c r="I189" s="17" t="s">
        <v>36</v>
      </c>
      <c r="J189" s="17">
        <v>3</v>
      </c>
      <c r="K189" s="19">
        <v>3</v>
      </c>
      <c r="L189" s="17" t="s">
        <v>327</v>
      </c>
      <c r="M189" s="21" t="s">
        <v>333</v>
      </c>
    </row>
    <row r="190" spans="2:13" ht="132.75" customHeight="1" x14ac:dyDescent="0.25">
      <c r="B190" s="19" t="s">
        <v>187</v>
      </c>
      <c r="C190" s="60"/>
      <c r="D190" s="57" t="s">
        <v>6</v>
      </c>
      <c r="E190" s="18" t="s">
        <v>41</v>
      </c>
      <c r="F190" s="17">
        <v>1.7</v>
      </c>
      <c r="G190" s="17" t="s">
        <v>623</v>
      </c>
      <c r="H190" s="17" t="s">
        <v>42</v>
      </c>
      <c r="I190" s="17" t="s">
        <v>43</v>
      </c>
      <c r="J190" s="17">
        <v>3</v>
      </c>
      <c r="K190" s="19">
        <v>3</v>
      </c>
      <c r="L190" s="17" t="s">
        <v>328</v>
      </c>
      <c r="M190" s="21" t="s">
        <v>334</v>
      </c>
    </row>
    <row r="191" spans="2:13" ht="64.5" customHeight="1" x14ac:dyDescent="0.25">
      <c r="B191" s="19" t="s">
        <v>187</v>
      </c>
      <c r="C191" s="60"/>
      <c r="D191" s="57" t="s">
        <v>6</v>
      </c>
      <c r="E191" s="18" t="s">
        <v>44</v>
      </c>
      <c r="F191" s="17">
        <v>1.7</v>
      </c>
      <c r="G191" s="17" t="s">
        <v>623</v>
      </c>
      <c r="H191" s="17" t="s">
        <v>45</v>
      </c>
      <c r="I191" s="17" t="s">
        <v>43</v>
      </c>
      <c r="J191" s="17">
        <v>3</v>
      </c>
      <c r="K191" s="19">
        <v>3</v>
      </c>
      <c r="L191" s="17"/>
      <c r="M191" s="21" t="s">
        <v>334</v>
      </c>
    </row>
    <row r="192" spans="2:13" ht="63.75" customHeight="1" x14ac:dyDescent="0.25">
      <c r="B192" s="19" t="s">
        <v>187</v>
      </c>
      <c r="C192" s="60"/>
      <c r="D192" s="57" t="s">
        <v>6</v>
      </c>
      <c r="E192" s="18" t="s">
        <v>46</v>
      </c>
      <c r="F192" s="17">
        <v>1.7</v>
      </c>
      <c r="G192" s="17" t="s">
        <v>623</v>
      </c>
      <c r="H192" s="17" t="s">
        <v>47</v>
      </c>
      <c r="I192" s="17" t="s">
        <v>43</v>
      </c>
      <c r="J192" s="17">
        <v>3</v>
      </c>
      <c r="K192" s="19">
        <v>2</v>
      </c>
      <c r="L192" s="17"/>
      <c r="M192" s="21" t="s">
        <v>334</v>
      </c>
    </row>
    <row r="193" spans="2:13" ht="78" customHeight="1" x14ac:dyDescent="0.25">
      <c r="B193" s="19" t="s">
        <v>187</v>
      </c>
      <c r="C193" s="60"/>
      <c r="D193" s="57" t="s">
        <v>6</v>
      </c>
      <c r="E193" s="18" t="s">
        <v>48</v>
      </c>
      <c r="F193" s="17">
        <v>1.8</v>
      </c>
      <c r="G193" s="17" t="s">
        <v>624</v>
      </c>
      <c r="H193" s="17" t="s">
        <v>49</v>
      </c>
      <c r="I193" s="17" t="s">
        <v>50</v>
      </c>
      <c r="J193" s="17">
        <v>2</v>
      </c>
      <c r="K193" s="19">
        <v>2</v>
      </c>
      <c r="L193" s="17"/>
      <c r="M193" s="21" t="s">
        <v>334</v>
      </c>
    </row>
    <row r="194" spans="2:13" ht="65.25" customHeight="1" x14ac:dyDescent="0.25">
      <c r="B194" s="19" t="s">
        <v>187</v>
      </c>
      <c r="C194" s="60"/>
      <c r="D194" s="57" t="s">
        <v>6</v>
      </c>
      <c r="E194" s="18" t="s">
        <v>51</v>
      </c>
      <c r="F194" s="17">
        <v>1.8</v>
      </c>
      <c r="G194" s="17" t="s">
        <v>624</v>
      </c>
      <c r="H194" s="17" t="s">
        <v>52</v>
      </c>
      <c r="I194" s="17" t="s">
        <v>53</v>
      </c>
      <c r="J194" s="17">
        <v>6</v>
      </c>
      <c r="K194" s="19">
        <v>6</v>
      </c>
      <c r="L194" s="17" t="s">
        <v>611</v>
      </c>
      <c r="M194" s="21" t="s">
        <v>335</v>
      </c>
    </row>
    <row r="195" spans="2:13" ht="38.25" x14ac:dyDescent="0.25">
      <c r="B195" s="19" t="s">
        <v>187</v>
      </c>
      <c r="C195" s="60"/>
      <c r="D195" s="57" t="s">
        <v>6</v>
      </c>
      <c r="E195" s="18" t="s">
        <v>54</v>
      </c>
      <c r="F195" s="17">
        <v>1.8</v>
      </c>
      <c r="G195" s="17" t="s">
        <v>624</v>
      </c>
      <c r="H195" s="17" t="s">
        <v>55</v>
      </c>
      <c r="I195" s="17" t="s">
        <v>56</v>
      </c>
      <c r="J195" s="17">
        <v>2</v>
      </c>
      <c r="K195" s="19">
        <v>2</v>
      </c>
      <c r="L195" s="17" t="s">
        <v>329</v>
      </c>
      <c r="M195" s="21" t="s">
        <v>335</v>
      </c>
    </row>
    <row r="196" spans="2:13" ht="67.5" customHeight="1" x14ac:dyDescent="0.25">
      <c r="B196" s="19" t="s">
        <v>187</v>
      </c>
      <c r="C196" s="60"/>
      <c r="D196" s="57" t="s">
        <v>6</v>
      </c>
      <c r="E196" s="18" t="s">
        <v>57</v>
      </c>
      <c r="F196" s="17">
        <v>1.9</v>
      </c>
      <c r="G196" s="17" t="s">
        <v>58</v>
      </c>
      <c r="H196" s="17" t="s">
        <v>59</v>
      </c>
      <c r="I196" s="17" t="s">
        <v>60</v>
      </c>
      <c r="J196" s="17">
        <v>2</v>
      </c>
      <c r="K196" s="19">
        <v>1</v>
      </c>
      <c r="L196" s="17" t="s">
        <v>330</v>
      </c>
      <c r="M196" s="21" t="s">
        <v>335</v>
      </c>
    </row>
    <row r="197" spans="2:13" ht="123" customHeight="1" x14ac:dyDescent="0.25">
      <c r="B197" s="19" t="s">
        <v>187</v>
      </c>
      <c r="C197" s="60"/>
      <c r="D197" s="57" t="s">
        <v>6</v>
      </c>
      <c r="E197" s="18" t="s">
        <v>61</v>
      </c>
      <c r="F197" s="17">
        <v>1.9</v>
      </c>
      <c r="G197" s="17" t="s">
        <v>58</v>
      </c>
      <c r="H197" s="17" t="s">
        <v>62</v>
      </c>
      <c r="I197" s="17" t="s">
        <v>63</v>
      </c>
      <c r="J197" s="17">
        <v>1</v>
      </c>
      <c r="K197" s="19">
        <v>2</v>
      </c>
      <c r="L197" s="17" t="s">
        <v>330</v>
      </c>
      <c r="M197" s="21" t="s">
        <v>335</v>
      </c>
    </row>
    <row r="198" spans="2:13" ht="67.5" customHeight="1" x14ac:dyDescent="0.25">
      <c r="B198" s="19" t="s">
        <v>187</v>
      </c>
      <c r="C198" s="60"/>
      <c r="D198" s="57" t="s">
        <v>6</v>
      </c>
      <c r="E198" s="18" t="s">
        <v>64</v>
      </c>
      <c r="F198" s="17">
        <v>1.9</v>
      </c>
      <c r="G198" s="17" t="s">
        <v>58</v>
      </c>
      <c r="H198" s="17" t="s">
        <v>65</v>
      </c>
      <c r="I198" s="17" t="s">
        <v>66</v>
      </c>
      <c r="J198" s="17">
        <v>2</v>
      </c>
      <c r="K198" s="24">
        <v>2</v>
      </c>
      <c r="L198" s="39" t="s">
        <v>330</v>
      </c>
      <c r="M198" s="21" t="s">
        <v>335</v>
      </c>
    </row>
    <row r="199" spans="2:13" ht="90" customHeight="1" x14ac:dyDescent="0.25">
      <c r="B199" s="19" t="s">
        <v>187</v>
      </c>
      <c r="C199" s="61"/>
      <c r="D199" s="57" t="s">
        <v>67</v>
      </c>
      <c r="E199" s="18" t="s">
        <v>68</v>
      </c>
      <c r="F199" s="17">
        <v>2.1</v>
      </c>
      <c r="G199" s="17" t="s">
        <v>642</v>
      </c>
      <c r="H199" s="17" t="s">
        <v>69</v>
      </c>
      <c r="I199" s="17" t="s">
        <v>70</v>
      </c>
      <c r="J199" s="17">
        <v>2</v>
      </c>
      <c r="K199" s="19">
        <v>2</v>
      </c>
      <c r="L199" s="17"/>
      <c r="M199" s="20" t="s">
        <v>405</v>
      </c>
    </row>
    <row r="200" spans="2:13" ht="97.5" customHeight="1" x14ac:dyDescent="0.25">
      <c r="B200" s="19" t="s">
        <v>187</v>
      </c>
      <c r="C200" s="61"/>
      <c r="D200" s="57" t="s">
        <v>71</v>
      </c>
      <c r="E200" s="18" t="s">
        <v>72</v>
      </c>
      <c r="F200" s="17">
        <v>2.2000000000000002</v>
      </c>
      <c r="G200" s="17" t="s">
        <v>73</v>
      </c>
      <c r="H200" s="17" t="s">
        <v>74</v>
      </c>
      <c r="I200" s="17" t="s">
        <v>75</v>
      </c>
      <c r="J200" s="17">
        <v>3</v>
      </c>
      <c r="K200" s="19">
        <v>2</v>
      </c>
      <c r="L200" s="17" t="s">
        <v>430</v>
      </c>
      <c r="M200" s="21" t="s">
        <v>431</v>
      </c>
    </row>
    <row r="201" spans="2:13" ht="94.5" customHeight="1" x14ac:dyDescent="0.25">
      <c r="B201" s="19" t="s">
        <v>187</v>
      </c>
      <c r="C201" s="61"/>
      <c r="D201" s="57" t="s">
        <v>71</v>
      </c>
      <c r="E201" s="18" t="s">
        <v>76</v>
      </c>
      <c r="F201" s="17">
        <v>2.2999999999999998</v>
      </c>
      <c r="G201" s="17" t="s">
        <v>77</v>
      </c>
      <c r="H201" s="17" t="s">
        <v>78</v>
      </c>
      <c r="I201" s="17" t="s">
        <v>75</v>
      </c>
      <c r="J201" s="17">
        <v>3</v>
      </c>
      <c r="K201" s="19">
        <v>2</v>
      </c>
      <c r="L201" s="17" t="s">
        <v>223</v>
      </c>
      <c r="M201" s="21" t="s">
        <v>431</v>
      </c>
    </row>
    <row r="202" spans="2:13" ht="90.75" customHeight="1" x14ac:dyDescent="0.25">
      <c r="B202" s="19" t="s">
        <v>187</v>
      </c>
      <c r="C202" s="61"/>
      <c r="D202" s="57" t="s">
        <v>71</v>
      </c>
      <c r="E202" s="18" t="s">
        <v>79</v>
      </c>
      <c r="F202" s="17">
        <v>2.4</v>
      </c>
      <c r="G202" s="17" t="s">
        <v>80</v>
      </c>
      <c r="H202" s="17" t="s">
        <v>81</v>
      </c>
      <c r="I202" s="17" t="s">
        <v>75</v>
      </c>
      <c r="J202" s="17">
        <v>3</v>
      </c>
      <c r="K202" s="19">
        <v>3</v>
      </c>
      <c r="L202" s="17" t="s">
        <v>224</v>
      </c>
      <c r="M202" s="21" t="s">
        <v>431</v>
      </c>
    </row>
    <row r="203" spans="2:13" ht="42" customHeight="1" x14ac:dyDescent="0.25">
      <c r="B203" s="19" t="s">
        <v>187</v>
      </c>
      <c r="C203" s="61"/>
      <c r="D203" s="57" t="s">
        <v>67</v>
      </c>
      <c r="E203" s="18" t="s">
        <v>82</v>
      </c>
      <c r="F203" s="17">
        <v>2.5</v>
      </c>
      <c r="G203" s="17" t="s">
        <v>83</v>
      </c>
      <c r="H203" s="17" t="s">
        <v>84</v>
      </c>
      <c r="I203" s="17" t="s">
        <v>85</v>
      </c>
      <c r="J203" s="17">
        <v>1</v>
      </c>
      <c r="K203" s="19">
        <v>1</v>
      </c>
      <c r="L203" s="17" t="s">
        <v>432</v>
      </c>
      <c r="M203" s="21" t="s">
        <v>433</v>
      </c>
    </row>
    <row r="204" spans="2:13" ht="55.5" customHeight="1" x14ac:dyDescent="0.25">
      <c r="B204" s="19" t="s">
        <v>187</v>
      </c>
      <c r="C204" s="61"/>
      <c r="D204" s="57" t="s">
        <v>67</v>
      </c>
      <c r="E204" s="18" t="s">
        <v>86</v>
      </c>
      <c r="F204" s="17">
        <v>2.6</v>
      </c>
      <c r="G204" s="17" t="s">
        <v>625</v>
      </c>
      <c r="H204" s="17" t="s">
        <v>87</v>
      </c>
      <c r="I204" s="17" t="s">
        <v>88</v>
      </c>
      <c r="J204" s="17">
        <v>2</v>
      </c>
      <c r="K204" s="19">
        <v>2</v>
      </c>
      <c r="L204" s="17" t="s">
        <v>434</v>
      </c>
      <c r="M204" s="20" t="s">
        <v>408</v>
      </c>
    </row>
    <row r="205" spans="2:13" ht="65.25" customHeight="1" x14ac:dyDescent="0.25">
      <c r="B205" s="19" t="s">
        <v>187</v>
      </c>
      <c r="C205" s="61"/>
      <c r="D205" s="57" t="s">
        <v>67</v>
      </c>
      <c r="E205" s="18" t="s">
        <v>89</v>
      </c>
      <c r="F205" s="17">
        <v>2.6</v>
      </c>
      <c r="G205" s="17" t="s">
        <v>625</v>
      </c>
      <c r="H205" s="17" t="s">
        <v>90</v>
      </c>
      <c r="I205" s="17" t="s">
        <v>91</v>
      </c>
      <c r="J205" s="17">
        <v>1</v>
      </c>
      <c r="K205" s="19"/>
      <c r="L205" s="17"/>
      <c r="M205" s="17"/>
    </row>
    <row r="206" spans="2:13" ht="42" customHeight="1" x14ac:dyDescent="0.25">
      <c r="B206" s="19" t="s">
        <v>187</v>
      </c>
      <c r="C206" s="61"/>
      <c r="D206" s="57" t="s">
        <v>92</v>
      </c>
      <c r="E206" s="18" t="s">
        <v>93</v>
      </c>
      <c r="F206" s="17">
        <v>2.7</v>
      </c>
      <c r="G206" s="17" t="s">
        <v>626</v>
      </c>
      <c r="H206" s="17" t="s">
        <v>94</v>
      </c>
      <c r="I206" s="17" t="s">
        <v>85</v>
      </c>
      <c r="J206" s="17">
        <v>1</v>
      </c>
      <c r="K206" s="19">
        <v>1</v>
      </c>
      <c r="L206" s="17" t="s">
        <v>409</v>
      </c>
      <c r="M206" s="21" t="s">
        <v>435</v>
      </c>
    </row>
    <row r="207" spans="2:13" ht="102" x14ac:dyDescent="0.25">
      <c r="B207" s="19" t="s">
        <v>187</v>
      </c>
      <c r="C207" s="61"/>
      <c r="D207" s="57" t="s">
        <v>92</v>
      </c>
      <c r="E207" s="18" t="s">
        <v>95</v>
      </c>
      <c r="F207" s="17">
        <v>2.8</v>
      </c>
      <c r="G207" s="17" t="s">
        <v>96</v>
      </c>
      <c r="H207" s="17" t="s">
        <v>97</v>
      </c>
      <c r="I207" s="17" t="s">
        <v>98</v>
      </c>
      <c r="J207" s="17">
        <v>3</v>
      </c>
      <c r="K207" s="19">
        <v>3</v>
      </c>
      <c r="L207" s="17"/>
      <c r="M207" s="21" t="s">
        <v>433</v>
      </c>
    </row>
    <row r="208" spans="2:13" ht="52.5" customHeight="1" x14ac:dyDescent="0.25">
      <c r="B208" s="19" t="s">
        <v>187</v>
      </c>
      <c r="C208" s="61"/>
      <c r="D208" s="57" t="s">
        <v>92</v>
      </c>
      <c r="E208" s="18" t="s">
        <v>99</v>
      </c>
      <c r="F208" s="17">
        <v>2.9</v>
      </c>
      <c r="G208" s="17" t="s">
        <v>100</v>
      </c>
      <c r="H208" s="17" t="s">
        <v>101</v>
      </c>
      <c r="I208" s="17" t="s">
        <v>85</v>
      </c>
      <c r="J208" s="17">
        <v>1</v>
      </c>
      <c r="K208" s="19">
        <v>1</v>
      </c>
      <c r="L208" s="17" t="s">
        <v>436</v>
      </c>
      <c r="M208" s="17"/>
    </row>
    <row r="209" spans="2:13" ht="37.5" customHeight="1" x14ac:dyDescent="0.25">
      <c r="B209" s="19" t="s">
        <v>187</v>
      </c>
      <c r="C209" s="61"/>
      <c r="D209" s="57" t="s">
        <v>92</v>
      </c>
      <c r="E209" s="18" t="s">
        <v>102</v>
      </c>
      <c r="F209" s="17">
        <v>2.9</v>
      </c>
      <c r="G209" s="17" t="s">
        <v>100</v>
      </c>
      <c r="H209" s="17" t="s">
        <v>103</v>
      </c>
      <c r="I209" s="17" t="s">
        <v>85</v>
      </c>
      <c r="J209" s="17">
        <v>1</v>
      </c>
      <c r="K209" s="19">
        <v>0</v>
      </c>
      <c r="L209" s="17"/>
      <c r="M209" s="17"/>
    </row>
    <row r="210" spans="2:13" ht="51.75" customHeight="1" x14ac:dyDescent="0.25">
      <c r="B210" s="19" t="s">
        <v>187</v>
      </c>
      <c r="C210" s="61"/>
      <c r="D210" s="57" t="s">
        <v>92</v>
      </c>
      <c r="E210" s="18" t="s">
        <v>104</v>
      </c>
      <c r="F210" s="17">
        <v>2.9</v>
      </c>
      <c r="G210" s="17" t="s">
        <v>100</v>
      </c>
      <c r="H210" s="17" t="s">
        <v>105</v>
      </c>
      <c r="I210" s="17" t="s">
        <v>85</v>
      </c>
      <c r="J210" s="17">
        <v>1</v>
      </c>
      <c r="K210" s="19">
        <v>1</v>
      </c>
      <c r="L210" s="17" t="s">
        <v>437</v>
      </c>
      <c r="M210" s="21" t="s">
        <v>438</v>
      </c>
    </row>
    <row r="211" spans="2:13" ht="51" x14ac:dyDescent="0.25">
      <c r="B211" s="19" t="s">
        <v>187</v>
      </c>
      <c r="C211" s="62"/>
      <c r="D211" s="57" t="s">
        <v>106</v>
      </c>
      <c r="E211" s="18" t="s">
        <v>107</v>
      </c>
      <c r="F211" s="17">
        <v>3.1</v>
      </c>
      <c r="G211" s="17" t="s">
        <v>108</v>
      </c>
      <c r="H211" s="17" t="s">
        <v>109</v>
      </c>
      <c r="I211" s="17" t="s">
        <v>110</v>
      </c>
      <c r="J211" s="17">
        <v>1</v>
      </c>
      <c r="K211" s="19">
        <v>0</v>
      </c>
      <c r="L211" s="17" t="s">
        <v>481</v>
      </c>
      <c r="M211" s="17" t="s">
        <v>426</v>
      </c>
    </row>
    <row r="212" spans="2:13" ht="51" x14ac:dyDescent="0.25">
      <c r="B212" s="19" t="s">
        <v>187</v>
      </c>
      <c r="C212" s="62"/>
      <c r="D212" s="57" t="s">
        <v>111</v>
      </c>
      <c r="E212" s="18" t="s">
        <v>112</v>
      </c>
      <c r="F212" s="17">
        <v>3.2</v>
      </c>
      <c r="G212" s="17" t="s">
        <v>113</v>
      </c>
      <c r="H212" s="17" t="s">
        <v>114</v>
      </c>
      <c r="I212" s="17" t="s">
        <v>115</v>
      </c>
      <c r="J212" s="17">
        <v>1</v>
      </c>
      <c r="K212" s="19">
        <v>0</v>
      </c>
      <c r="L212" s="17"/>
      <c r="M212" s="17"/>
    </row>
    <row r="213" spans="2:13" ht="51" customHeight="1" x14ac:dyDescent="0.25">
      <c r="B213" s="19" t="s">
        <v>187</v>
      </c>
      <c r="C213" s="62"/>
      <c r="D213" s="57" t="s">
        <v>111</v>
      </c>
      <c r="E213" s="18" t="s">
        <v>116</v>
      </c>
      <c r="F213" s="17">
        <v>3.2</v>
      </c>
      <c r="G213" s="17" t="s">
        <v>113</v>
      </c>
      <c r="H213" s="17" t="s">
        <v>117</v>
      </c>
      <c r="I213" s="17" t="s">
        <v>115</v>
      </c>
      <c r="J213" s="17">
        <v>1</v>
      </c>
      <c r="K213" s="19">
        <v>1</v>
      </c>
      <c r="L213" s="17" t="s">
        <v>482</v>
      </c>
      <c r="M213" s="17" t="s">
        <v>426</v>
      </c>
    </row>
    <row r="214" spans="2:13" ht="51" x14ac:dyDescent="0.25">
      <c r="B214" s="19" t="s">
        <v>187</v>
      </c>
      <c r="C214" s="62"/>
      <c r="D214" s="57" t="s">
        <v>111</v>
      </c>
      <c r="E214" s="18" t="s">
        <v>118</v>
      </c>
      <c r="F214" s="17">
        <v>3.2</v>
      </c>
      <c r="G214" s="17" t="s">
        <v>113</v>
      </c>
      <c r="H214" s="17" t="s">
        <v>119</v>
      </c>
      <c r="I214" s="17" t="s">
        <v>115</v>
      </c>
      <c r="J214" s="17">
        <v>1</v>
      </c>
      <c r="K214" s="19">
        <v>0</v>
      </c>
      <c r="L214" s="17"/>
      <c r="M214" s="17"/>
    </row>
    <row r="215" spans="2:13" ht="91.5" customHeight="1" x14ac:dyDescent="0.25">
      <c r="B215" s="19" t="s">
        <v>187</v>
      </c>
      <c r="C215" s="62"/>
      <c r="D215" s="57" t="s">
        <v>111</v>
      </c>
      <c r="E215" s="18" t="s">
        <v>120</v>
      </c>
      <c r="F215" s="17">
        <v>3.3</v>
      </c>
      <c r="G215" s="17" t="s">
        <v>627</v>
      </c>
      <c r="H215" s="17" t="s">
        <v>121</v>
      </c>
      <c r="I215" s="17" t="s">
        <v>122</v>
      </c>
      <c r="J215" s="17">
        <v>1</v>
      </c>
      <c r="K215" s="19">
        <v>1</v>
      </c>
      <c r="L215" s="17" t="s">
        <v>483</v>
      </c>
      <c r="M215" s="17"/>
    </row>
    <row r="216" spans="2:13" ht="53.25" customHeight="1" x14ac:dyDescent="0.25">
      <c r="B216" s="19" t="s">
        <v>187</v>
      </c>
      <c r="C216" s="62"/>
      <c r="D216" s="57" t="s">
        <v>111</v>
      </c>
      <c r="E216" s="18" t="s">
        <v>123</v>
      </c>
      <c r="F216" s="17">
        <v>3.4</v>
      </c>
      <c r="G216" s="17" t="s">
        <v>628</v>
      </c>
      <c r="H216" s="17" t="s">
        <v>124</v>
      </c>
      <c r="I216" s="17" t="s">
        <v>115</v>
      </c>
      <c r="J216" s="17">
        <v>1</v>
      </c>
      <c r="K216" s="19">
        <v>0</v>
      </c>
      <c r="L216" s="17" t="s">
        <v>485</v>
      </c>
      <c r="M216" s="17" t="s">
        <v>484</v>
      </c>
    </row>
    <row r="217" spans="2:13" ht="96.75" customHeight="1" x14ac:dyDescent="0.25">
      <c r="B217" s="19" t="s">
        <v>187</v>
      </c>
      <c r="C217" s="62"/>
      <c r="D217" s="57" t="s">
        <v>125</v>
      </c>
      <c r="E217" s="18" t="s">
        <v>126</v>
      </c>
      <c r="F217" s="17">
        <v>3.5</v>
      </c>
      <c r="G217" s="17" t="s">
        <v>127</v>
      </c>
      <c r="H217" s="17" t="s">
        <v>128</v>
      </c>
      <c r="I217" s="17" t="s">
        <v>129</v>
      </c>
      <c r="J217" s="17">
        <v>1</v>
      </c>
      <c r="K217" s="19">
        <v>1</v>
      </c>
      <c r="L217" s="17" t="s">
        <v>486</v>
      </c>
      <c r="M217" s="21" t="s">
        <v>487</v>
      </c>
    </row>
    <row r="218" spans="2:13" ht="52.5" customHeight="1" x14ac:dyDescent="0.25">
      <c r="B218" s="19" t="s">
        <v>187</v>
      </c>
      <c r="C218" s="62"/>
      <c r="D218" s="57" t="s">
        <v>130</v>
      </c>
      <c r="E218" s="18" t="s">
        <v>131</v>
      </c>
      <c r="F218" s="17">
        <v>3.6</v>
      </c>
      <c r="G218" s="17" t="s">
        <v>255</v>
      </c>
      <c r="H218" s="17" t="s">
        <v>132</v>
      </c>
      <c r="I218" s="17" t="s">
        <v>115</v>
      </c>
      <c r="J218" s="17">
        <v>1</v>
      </c>
      <c r="K218" s="19">
        <v>0.5</v>
      </c>
      <c r="L218" s="17" t="s">
        <v>489</v>
      </c>
      <c r="M218" s="21" t="s">
        <v>433</v>
      </c>
    </row>
    <row r="219" spans="2:13" ht="50.25" customHeight="1" x14ac:dyDescent="0.25">
      <c r="B219" s="19" t="s">
        <v>187</v>
      </c>
      <c r="C219" s="62"/>
      <c r="D219" s="57" t="s">
        <v>130</v>
      </c>
      <c r="E219" s="18" t="s">
        <v>133</v>
      </c>
      <c r="F219" s="17">
        <v>3.7</v>
      </c>
      <c r="G219" s="17" t="s">
        <v>260</v>
      </c>
      <c r="H219" s="17" t="s">
        <v>134</v>
      </c>
      <c r="I219" s="17" t="s">
        <v>135</v>
      </c>
      <c r="J219" s="17">
        <v>1</v>
      </c>
      <c r="K219" s="19">
        <v>1</v>
      </c>
      <c r="L219" s="17" t="s">
        <v>490</v>
      </c>
      <c r="M219" s="21" t="s">
        <v>488</v>
      </c>
    </row>
    <row r="220" spans="2:13" ht="53.25" customHeight="1" x14ac:dyDescent="0.25">
      <c r="B220" s="19" t="s">
        <v>187</v>
      </c>
      <c r="C220" s="63"/>
      <c r="D220" s="57" t="s">
        <v>136</v>
      </c>
      <c r="E220" s="18" t="s">
        <v>137</v>
      </c>
      <c r="F220" s="17">
        <v>4.0999999999999996</v>
      </c>
      <c r="G220" s="17" t="s">
        <v>629</v>
      </c>
      <c r="H220" s="17" t="s">
        <v>138</v>
      </c>
      <c r="I220" s="17" t="s">
        <v>85</v>
      </c>
      <c r="J220" s="17">
        <v>1</v>
      </c>
      <c r="K220" s="19">
        <v>1</v>
      </c>
      <c r="L220" s="17"/>
      <c r="M220" s="17" t="s">
        <v>536</v>
      </c>
    </row>
    <row r="221" spans="2:13" ht="66" customHeight="1" x14ac:dyDescent="0.25">
      <c r="B221" s="19" t="s">
        <v>187</v>
      </c>
      <c r="C221" s="63"/>
      <c r="D221" s="57" t="s">
        <v>139</v>
      </c>
      <c r="E221" s="18" t="s">
        <v>140</v>
      </c>
      <c r="F221" s="17">
        <v>4.2</v>
      </c>
      <c r="G221" s="17" t="s">
        <v>630</v>
      </c>
      <c r="H221" s="17" t="s">
        <v>141</v>
      </c>
      <c r="I221" s="17" t="s">
        <v>142</v>
      </c>
      <c r="J221" s="17">
        <v>2</v>
      </c>
      <c r="K221" s="19">
        <v>0</v>
      </c>
      <c r="L221" s="17" t="s">
        <v>537</v>
      </c>
      <c r="M221" s="17"/>
    </row>
    <row r="222" spans="2:13" ht="53.25" customHeight="1" x14ac:dyDescent="0.25">
      <c r="B222" s="19" t="s">
        <v>187</v>
      </c>
      <c r="C222" s="63"/>
      <c r="D222" s="57" t="s">
        <v>139</v>
      </c>
      <c r="E222" s="18" t="s">
        <v>143</v>
      </c>
      <c r="F222" s="17">
        <v>4.3</v>
      </c>
      <c r="G222" s="17" t="s">
        <v>631</v>
      </c>
      <c r="H222" s="17" t="s">
        <v>144</v>
      </c>
      <c r="I222" s="17" t="s">
        <v>142</v>
      </c>
      <c r="J222" s="17">
        <v>2</v>
      </c>
      <c r="K222" s="19">
        <v>0</v>
      </c>
      <c r="L222" s="17" t="s">
        <v>538</v>
      </c>
      <c r="M222" s="17" t="s">
        <v>426</v>
      </c>
    </row>
    <row r="223" spans="2:13" ht="135" customHeight="1" x14ac:dyDescent="0.25">
      <c r="B223" s="19" t="s">
        <v>187</v>
      </c>
      <c r="C223" s="63"/>
      <c r="D223" s="57" t="s">
        <v>139</v>
      </c>
      <c r="E223" s="18" t="s">
        <v>145</v>
      </c>
      <c r="F223" s="17">
        <v>4.4000000000000004</v>
      </c>
      <c r="G223" s="17" t="s">
        <v>632</v>
      </c>
      <c r="H223" s="17" t="s">
        <v>146</v>
      </c>
      <c r="I223" s="17" t="s">
        <v>147</v>
      </c>
      <c r="J223" s="17">
        <v>7</v>
      </c>
      <c r="K223" s="19">
        <v>2</v>
      </c>
      <c r="L223" s="17"/>
      <c r="M223" s="17" t="s">
        <v>540</v>
      </c>
    </row>
    <row r="224" spans="2:13" ht="65.25" customHeight="1" x14ac:dyDescent="0.25">
      <c r="B224" s="19" t="s">
        <v>187</v>
      </c>
      <c r="C224" s="63"/>
      <c r="D224" s="57" t="s">
        <v>148</v>
      </c>
      <c r="E224" s="18" t="s">
        <v>149</v>
      </c>
      <c r="F224" s="17">
        <v>4.5</v>
      </c>
      <c r="G224" s="17" t="s">
        <v>633</v>
      </c>
      <c r="H224" s="17" t="s">
        <v>150</v>
      </c>
      <c r="I224" s="17" t="s">
        <v>115</v>
      </c>
      <c r="J224" s="17">
        <v>1</v>
      </c>
      <c r="K224" s="19">
        <v>1</v>
      </c>
      <c r="L224" s="17"/>
      <c r="M224" s="17" t="s">
        <v>539</v>
      </c>
    </row>
    <row r="225" spans="2:13" ht="54" customHeight="1" x14ac:dyDescent="0.25">
      <c r="B225" s="19" t="s">
        <v>187</v>
      </c>
      <c r="C225" s="63"/>
      <c r="D225" s="57" t="s">
        <v>148</v>
      </c>
      <c r="E225" s="18" t="s">
        <v>151</v>
      </c>
      <c r="F225" s="17">
        <v>4.5999999999999996</v>
      </c>
      <c r="G225" s="17" t="s">
        <v>634</v>
      </c>
      <c r="H225" s="17" t="s">
        <v>152</v>
      </c>
      <c r="I225" s="17" t="s">
        <v>85</v>
      </c>
      <c r="J225" s="17">
        <v>1</v>
      </c>
      <c r="K225" s="19">
        <v>1</v>
      </c>
      <c r="L225" s="17"/>
      <c r="M225" s="17"/>
    </row>
    <row r="226" spans="2:13" ht="52.5" customHeight="1" x14ac:dyDescent="0.25">
      <c r="B226" s="19" t="s">
        <v>187</v>
      </c>
      <c r="C226" s="63"/>
      <c r="D226" s="57" t="s">
        <v>148</v>
      </c>
      <c r="E226" s="18" t="s">
        <v>153</v>
      </c>
      <c r="F226" s="17">
        <v>4.7</v>
      </c>
      <c r="G226" s="17" t="s">
        <v>635</v>
      </c>
      <c r="H226" s="17" t="s">
        <v>154</v>
      </c>
      <c r="I226" s="17" t="s">
        <v>85</v>
      </c>
      <c r="J226" s="17">
        <v>1</v>
      </c>
      <c r="K226" s="19">
        <v>0.5</v>
      </c>
      <c r="L226" s="17" t="s">
        <v>541</v>
      </c>
      <c r="M226" s="17"/>
    </row>
    <row r="227" spans="2:13" ht="79.5" customHeight="1" x14ac:dyDescent="0.25">
      <c r="B227" s="19" t="s">
        <v>187</v>
      </c>
      <c r="C227" s="63"/>
      <c r="D227" s="57" t="s">
        <v>148</v>
      </c>
      <c r="E227" s="18" t="s">
        <v>155</v>
      </c>
      <c r="F227" s="17">
        <v>4.8</v>
      </c>
      <c r="G227" s="17" t="s">
        <v>156</v>
      </c>
      <c r="H227" s="17" t="s">
        <v>157</v>
      </c>
      <c r="I227" s="17" t="s">
        <v>85</v>
      </c>
      <c r="J227" s="17">
        <v>1</v>
      </c>
      <c r="K227" s="19">
        <v>0.5</v>
      </c>
      <c r="L227" s="17" t="s">
        <v>542</v>
      </c>
      <c r="M227" s="17" t="s">
        <v>543</v>
      </c>
    </row>
    <row r="228" spans="2:13" ht="25.5" x14ac:dyDescent="0.25">
      <c r="B228" s="19" t="s">
        <v>187</v>
      </c>
      <c r="C228" s="63"/>
      <c r="D228" s="57" t="s">
        <v>136</v>
      </c>
      <c r="E228" s="18" t="s">
        <v>158</v>
      </c>
      <c r="F228" s="17">
        <v>4.9000000000000004</v>
      </c>
      <c r="G228" s="17" t="s">
        <v>636</v>
      </c>
      <c r="H228" s="17" t="s">
        <v>159</v>
      </c>
      <c r="I228" s="17" t="s">
        <v>85</v>
      </c>
      <c r="J228" s="17">
        <v>1</v>
      </c>
      <c r="K228" s="19">
        <v>1</v>
      </c>
      <c r="L228" s="17"/>
      <c r="M228" s="17" t="s">
        <v>544</v>
      </c>
    </row>
    <row r="229" spans="2:13" ht="25.5" x14ac:dyDescent="0.25">
      <c r="B229" s="19" t="s">
        <v>187</v>
      </c>
      <c r="C229" s="63"/>
      <c r="D229" s="57" t="s">
        <v>136</v>
      </c>
      <c r="E229" s="18" t="s">
        <v>160</v>
      </c>
      <c r="F229" s="27">
        <v>4.0999999999999996</v>
      </c>
      <c r="G229" s="17" t="s">
        <v>637</v>
      </c>
      <c r="H229" s="17" t="s">
        <v>161</v>
      </c>
      <c r="I229" s="17" t="s">
        <v>85</v>
      </c>
      <c r="J229" s="17">
        <v>1</v>
      </c>
      <c r="K229" s="19">
        <v>0</v>
      </c>
      <c r="L229" s="17"/>
      <c r="M229" s="17"/>
    </row>
    <row r="230" spans="2:13" ht="62.25" customHeight="1" x14ac:dyDescent="0.25">
      <c r="B230" s="19" t="s">
        <v>187</v>
      </c>
      <c r="C230" s="63"/>
      <c r="D230" s="57" t="s">
        <v>136</v>
      </c>
      <c r="E230" s="18" t="s">
        <v>162</v>
      </c>
      <c r="F230" s="17">
        <v>4.1100000000000003</v>
      </c>
      <c r="G230" s="17" t="s">
        <v>638</v>
      </c>
      <c r="H230" s="17" t="s">
        <v>163</v>
      </c>
      <c r="I230" s="17" t="s">
        <v>85</v>
      </c>
      <c r="J230" s="17">
        <v>1</v>
      </c>
      <c r="K230" s="19">
        <v>0</v>
      </c>
      <c r="L230" s="17"/>
      <c r="M230" s="17"/>
    </row>
    <row r="231" spans="2:13" ht="81" customHeight="1" x14ac:dyDescent="0.25">
      <c r="B231" s="19" t="s">
        <v>187</v>
      </c>
      <c r="C231" s="63"/>
      <c r="D231" s="57" t="s">
        <v>136</v>
      </c>
      <c r="E231" s="18" t="s">
        <v>164</v>
      </c>
      <c r="F231" s="17">
        <v>4.12</v>
      </c>
      <c r="G231" s="17" t="s">
        <v>639</v>
      </c>
      <c r="H231" s="17" t="s">
        <v>165</v>
      </c>
      <c r="I231" s="17" t="s">
        <v>85</v>
      </c>
      <c r="J231" s="17">
        <v>1</v>
      </c>
      <c r="K231" s="19">
        <v>0</v>
      </c>
      <c r="L231" s="17" t="s">
        <v>545</v>
      </c>
      <c r="M231" s="17" t="s">
        <v>546</v>
      </c>
    </row>
    <row r="232" spans="2:13" ht="39" thickBot="1" x14ac:dyDescent="0.3">
      <c r="B232" s="75" t="s">
        <v>187</v>
      </c>
      <c r="C232" s="76"/>
      <c r="D232" s="77" t="s">
        <v>136</v>
      </c>
      <c r="E232" s="78" t="s">
        <v>166</v>
      </c>
      <c r="F232" s="79">
        <v>4.13</v>
      </c>
      <c r="G232" s="79" t="s">
        <v>640</v>
      </c>
      <c r="H232" s="79" t="s">
        <v>167</v>
      </c>
      <c r="I232" s="79" t="s">
        <v>85</v>
      </c>
      <c r="J232" s="79">
        <v>1</v>
      </c>
      <c r="K232" s="75">
        <v>0</v>
      </c>
      <c r="L232" s="79"/>
      <c r="M232" s="79"/>
    </row>
    <row r="233" spans="2:13" ht="51.75" thickTop="1" x14ac:dyDescent="0.25">
      <c r="B233" s="52" t="s">
        <v>191</v>
      </c>
      <c r="C233" s="65"/>
      <c r="D233" s="59" t="s">
        <v>6</v>
      </c>
      <c r="E233" s="51" t="s">
        <v>7</v>
      </c>
      <c r="F233" s="50">
        <v>1.1000000000000001</v>
      </c>
      <c r="G233" s="50" t="s">
        <v>618</v>
      </c>
      <c r="H233" s="50" t="s">
        <v>8</v>
      </c>
      <c r="I233" s="50" t="s">
        <v>9</v>
      </c>
      <c r="J233" s="50">
        <v>2</v>
      </c>
      <c r="K233" s="52">
        <v>2</v>
      </c>
      <c r="L233" s="50"/>
      <c r="M233" s="50"/>
    </row>
    <row r="234" spans="2:13" ht="51" x14ac:dyDescent="0.25">
      <c r="B234" s="19" t="s">
        <v>191</v>
      </c>
      <c r="C234" s="60"/>
      <c r="D234" s="57" t="s">
        <v>6</v>
      </c>
      <c r="E234" s="18" t="s">
        <v>10</v>
      </c>
      <c r="F234" s="17">
        <v>1.1000000000000001</v>
      </c>
      <c r="G234" s="17" t="s">
        <v>618</v>
      </c>
      <c r="H234" s="17" t="s">
        <v>11</v>
      </c>
      <c r="I234" s="17" t="s">
        <v>9</v>
      </c>
      <c r="J234" s="17">
        <v>2</v>
      </c>
      <c r="K234" s="19">
        <v>2</v>
      </c>
      <c r="L234" s="17"/>
      <c r="M234" s="17"/>
    </row>
    <row r="235" spans="2:13" ht="51" x14ac:dyDescent="0.25">
      <c r="B235" s="19" t="s">
        <v>191</v>
      </c>
      <c r="C235" s="60"/>
      <c r="D235" s="57" t="s">
        <v>6</v>
      </c>
      <c r="E235" s="18" t="s">
        <v>12</v>
      </c>
      <c r="F235" s="17">
        <v>1.1000000000000001</v>
      </c>
      <c r="G235" s="17" t="s">
        <v>618</v>
      </c>
      <c r="H235" s="17" t="s">
        <v>13</v>
      </c>
      <c r="I235" s="17" t="s">
        <v>9</v>
      </c>
      <c r="J235" s="17">
        <v>2</v>
      </c>
      <c r="K235" s="19">
        <v>1</v>
      </c>
      <c r="L235" s="17" t="s">
        <v>336</v>
      </c>
      <c r="M235" s="17"/>
    </row>
    <row r="236" spans="2:13" ht="89.25" x14ac:dyDescent="0.25">
      <c r="B236" s="19" t="s">
        <v>191</v>
      </c>
      <c r="C236" s="60"/>
      <c r="D236" s="57" t="s">
        <v>6</v>
      </c>
      <c r="E236" s="18" t="s">
        <v>14</v>
      </c>
      <c r="F236" s="17">
        <v>1.2</v>
      </c>
      <c r="G236" s="17" t="s">
        <v>619</v>
      </c>
      <c r="H236" s="17" t="s">
        <v>15</v>
      </c>
      <c r="I236" s="17" t="s">
        <v>16</v>
      </c>
      <c r="J236" s="17">
        <v>3</v>
      </c>
      <c r="K236" s="19">
        <v>2</v>
      </c>
      <c r="L236" s="17" t="s">
        <v>337</v>
      </c>
      <c r="M236" s="17"/>
    </row>
    <row r="237" spans="2:13" ht="89.25" x14ac:dyDescent="0.25">
      <c r="B237" s="19" t="s">
        <v>191</v>
      </c>
      <c r="C237" s="60"/>
      <c r="D237" s="57" t="s">
        <v>6</v>
      </c>
      <c r="E237" s="18" t="s">
        <v>17</v>
      </c>
      <c r="F237" s="17">
        <v>1.2</v>
      </c>
      <c r="G237" s="17" t="s">
        <v>619</v>
      </c>
      <c r="H237" s="17" t="s">
        <v>18</v>
      </c>
      <c r="I237" s="17" t="s">
        <v>16</v>
      </c>
      <c r="J237" s="17">
        <v>3</v>
      </c>
      <c r="K237" s="19">
        <v>2</v>
      </c>
      <c r="L237" s="17" t="s">
        <v>337</v>
      </c>
      <c r="M237" s="17"/>
    </row>
    <row r="238" spans="2:13" ht="89.25" x14ac:dyDescent="0.25">
      <c r="B238" s="19" t="s">
        <v>191</v>
      </c>
      <c r="C238" s="60"/>
      <c r="D238" s="57" t="s">
        <v>6</v>
      </c>
      <c r="E238" s="18" t="s">
        <v>19</v>
      </c>
      <c r="F238" s="17">
        <v>1.2</v>
      </c>
      <c r="G238" s="17" t="s">
        <v>619</v>
      </c>
      <c r="H238" s="17" t="s">
        <v>20</v>
      </c>
      <c r="I238" s="17" t="s">
        <v>16</v>
      </c>
      <c r="J238" s="17">
        <v>3</v>
      </c>
      <c r="K238" s="19">
        <v>2</v>
      </c>
      <c r="L238" s="17" t="s">
        <v>337</v>
      </c>
      <c r="M238" s="17"/>
    </row>
    <row r="239" spans="2:13" ht="54.75" customHeight="1" x14ac:dyDescent="0.25">
      <c r="B239" s="19" t="s">
        <v>191</v>
      </c>
      <c r="C239" s="60"/>
      <c r="D239" s="57" t="s">
        <v>6</v>
      </c>
      <c r="E239" s="18" t="s">
        <v>21</v>
      </c>
      <c r="F239" s="17">
        <v>1.3</v>
      </c>
      <c r="G239" s="17" t="s">
        <v>620</v>
      </c>
      <c r="H239" s="17" t="s">
        <v>22</v>
      </c>
      <c r="I239" s="17" t="s">
        <v>23</v>
      </c>
      <c r="J239" s="17">
        <v>2</v>
      </c>
      <c r="K239" s="40">
        <v>2</v>
      </c>
      <c r="L239" s="17" t="s">
        <v>338</v>
      </c>
      <c r="M239" s="17"/>
    </row>
    <row r="240" spans="2:13" ht="78.75" customHeight="1" x14ac:dyDescent="0.25">
      <c r="B240" s="19" t="s">
        <v>191</v>
      </c>
      <c r="C240" s="60"/>
      <c r="D240" s="57" t="s">
        <v>6</v>
      </c>
      <c r="E240" s="18" t="s">
        <v>24</v>
      </c>
      <c r="F240" s="17">
        <v>1.4</v>
      </c>
      <c r="G240" s="17" t="s">
        <v>641</v>
      </c>
      <c r="H240" s="17" t="s">
        <v>25</v>
      </c>
      <c r="I240" s="17" t="s">
        <v>26</v>
      </c>
      <c r="J240" s="17">
        <v>2</v>
      </c>
      <c r="K240" s="19">
        <v>1</v>
      </c>
      <c r="L240" s="17" t="s">
        <v>338</v>
      </c>
      <c r="M240" s="17"/>
    </row>
    <row r="241" spans="2:13" ht="89.25" x14ac:dyDescent="0.25">
      <c r="B241" s="19" t="s">
        <v>191</v>
      </c>
      <c r="C241" s="60"/>
      <c r="D241" s="57" t="s">
        <v>6</v>
      </c>
      <c r="E241" s="18" t="s">
        <v>27</v>
      </c>
      <c r="F241" s="17">
        <v>1.5</v>
      </c>
      <c r="G241" s="17" t="s">
        <v>641</v>
      </c>
      <c r="H241" s="17" t="s">
        <v>28</v>
      </c>
      <c r="I241" s="17" t="s">
        <v>29</v>
      </c>
      <c r="J241" s="17">
        <v>3</v>
      </c>
      <c r="K241" s="19">
        <v>2</v>
      </c>
      <c r="L241" s="17" t="s">
        <v>338</v>
      </c>
      <c r="M241" s="17"/>
    </row>
    <row r="242" spans="2:13" ht="89.25" x14ac:dyDescent="0.25">
      <c r="B242" s="19" t="s">
        <v>191</v>
      </c>
      <c r="C242" s="60"/>
      <c r="D242" s="57" t="s">
        <v>6</v>
      </c>
      <c r="E242" s="18" t="s">
        <v>30</v>
      </c>
      <c r="F242" s="17">
        <v>1.5</v>
      </c>
      <c r="G242" s="17" t="s">
        <v>641</v>
      </c>
      <c r="H242" s="17" t="s">
        <v>31</v>
      </c>
      <c r="I242" s="17" t="s">
        <v>29</v>
      </c>
      <c r="J242" s="17">
        <v>3</v>
      </c>
      <c r="K242" s="19">
        <v>2</v>
      </c>
      <c r="L242" s="17" t="s">
        <v>338</v>
      </c>
      <c r="M242" s="17"/>
    </row>
    <row r="243" spans="2:13" ht="89.25" x14ac:dyDescent="0.25">
      <c r="B243" s="19" t="s">
        <v>191</v>
      </c>
      <c r="C243" s="60"/>
      <c r="D243" s="57" t="s">
        <v>6</v>
      </c>
      <c r="E243" s="18" t="s">
        <v>32</v>
      </c>
      <c r="F243" s="17">
        <v>1.5</v>
      </c>
      <c r="G243" s="17" t="s">
        <v>621</v>
      </c>
      <c r="H243" s="17" t="s">
        <v>33</v>
      </c>
      <c r="I243" s="17" t="s">
        <v>29</v>
      </c>
      <c r="J243" s="17">
        <v>3</v>
      </c>
      <c r="K243" s="19">
        <v>2</v>
      </c>
      <c r="L243" s="17"/>
      <c r="M243" s="17"/>
    </row>
    <row r="244" spans="2:13" ht="93.75" customHeight="1" x14ac:dyDescent="0.25">
      <c r="B244" s="19" t="s">
        <v>191</v>
      </c>
      <c r="C244" s="60"/>
      <c r="D244" s="57" t="s">
        <v>6</v>
      </c>
      <c r="E244" s="18" t="s">
        <v>34</v>
      </c>
      <c r="F244" s="17">
        <v>1.6</v>
      </c>
      <c r="G244" s="17" t="s">
        <v>622</v>
      </c>
      <c r="H244" s="17" t="s">
        <v>35</v>
      </c>
      <c r="I244" s="17" t="s">
        <v>36</v>
      </c>
      <c r="J244" s="17">
        <v>3</v>
      </c>
      <c r="K244" s="19">
        <v>1</v>
      </c>
      <c r="L244" s="17"/>
      <c r="M244" s="17"/>
    </row>
    <row r="245" spans="2:13" ht="93" customHeight="1" x14ac:dyDescent="0.25">
      <c r="B245" s="19" t="s">
        <v>191</v>
      </c>
      <c r="C245" s="60"/>
      <c r="D245" s="57" t="s">
        <v>6</v>
      </c>
      <c r="E245" s="18" t="s">
        <v>37</v>
      </c>
      <c r="F245" s="17">
        <v>1.6</v>
      </c>
      <c r="G245" s="17" t="s">
        <v>622</v>
      </c>
      <c r="H245" s="17" t="s">
        <v>38</v>
      </c>
      <c r="I245" s="17" t="s">
        <v>36</v>
      </c>
      <c r="J245" s="17">
        <v>3</v>
      </c>
      <c r="K245" s="19">
        <v>1</v>
      </c>
      <c r="L245" s="17"/>
      <c r="M245" s="17"/>
    </row>
    <row r="246" spans="2:13" ht="90.75" customHeight="1" x14ac:dyDescent="0.25">
      <c r="B246" s="19" t="s">
        <v>191</v>
      </c>
      <c r="C246" s="60"/>
      <c r="D246" s="57" t="s">
        <v>6</v>
      </c>
      <c r="E246" s="18" t="s">
        <v>39</v>
      </c>
      <c r="F246" s="17">
        <v>1.6</v>
      </c>
      <c r="G246" s="17" t="s">
        <v>622</v>
      </c>
      <c r="H246" s="17" t="s">
        <v>40</v>
      </c>
      <c r="I246" s="17" t="s">
        <v>36</v>
      </c>
      <c r="J246" s="17">
        <v>3</v>
      </c>
      <c r="K246" s="19">
        <v>1</v>
      </c>
      <c r="L246" s="17"/>
      <c r="M246" s="17"/>
    </row>
    <row r="247" spans="2:13" ht="78" customHeight="1" x14ac:dyDescent="0.25">
      <c r="B247" s="19" t="s">
        <v>191</v>
      </c>
      <c r="C247" s="60"/>
      <c r="D247" s="57" t="s">
        <v>6</v>
      </c>
      <c r="E247" s="18" t="s">
        <v>41</v>
      </c>
      <c r="F247" s="17">
        <v>1.7</v>
      </c>
      <c r="G247" s="17" t="s">
        <v>623</v>
      </c>
      <c r="H247" s="17" t="s">
        <v>42</v>
      </c>
      <c r="I247" s="17" t="s">
        <v>43</v>
      </c>
      <c r="J247" s="17">
        <v>3</v>
      </c>
      <c r="K247" s="19">
        <v>1</v>
      </c>
      <c r="L247" s="17" t="s">
        <v>345</v>
      </c>
      <c r="M247" s="17"/>
    </row>
    <row r="248" spans="2:13" ht="66" customHeight="1" x14ac:dyDescent="0.25">
      <c r="B248" s="19" t="s">
        <v>191</v>
      </c>
      <c r="C248" s="60"/>
      <c r="D248" s="57" t="s">
        <v>6</v>
      </c>
      <c r="E248" s="18" t="s">
        <v>44</v>
      </c>
      <c r="F248" s="17">
        <v>1.7</v>
      </c>
      <c r="G248" s="17" t="s">
        <v>623</v>
      </c>
      <c r="H248" s="17" t="s">
        <v>45</v>
      </c>
      <c r="I248" s="17" t="s">
        <v>43</v>
      </c>
      <c r="J248" s="17">
        <v>3</v>
      </c>
      <c r="K248" s="19">
        <v>1</v>
      </c>
      <c r="L248" s="17" t="s">
        <v>344</v>
      </c>
      <c r="M248" s="17"/>
    </row>
    <row r="249" spans="2:13" ht="66" customHeight="1" x14ac:dyDescent="0.25">
      <c r="B249" s="19" t="s">
        <v>191</v>
      </c>
      <c r="C249" s="60"/>
      <c r="D249" s="57" t="s">
        <v>6</v>
      </c>
      <c r="E249" s="18" t="s">
        <v>46</v>
      </c>
      <c r="F249" s="17">
        <v>1.7</v>
      </c>
      <c r="G249" s="17" t="s">
        <v>623</v>
      </c>
      <c r="H249" s="17" t="s">
        <v>47</v>
      </c>
      <c r="I249" s="17" t="s">
        <v>43</v>
      </c>
      <c r="J249" s="17">
        <v>3</v>
      </c>
      <c r="K249" s="19">
        <v>1</v>
      </c>
      <c r="L249" s="17" t="s">
        <v>346</v>
      </c>
      <c r="M249" s="17"/>
    </row>
    <row r="250" spans="2:13" ht="90.75" customHeight="1" x14ac:dyDescent="0.25">
      <c r="B250" s="19" t="s">
        <v>191</v>
      </c>
      <c r="C250" s="60"/>
      <c r="D250" s="57" t="s">
        <v>6</v>
      </c>
      <c r="E250" s="18" t="s">
        <v>48</v>
      </c>
      <c r="F250" s="17">
        <v>1.8</v>
      </c>
      <c r="G250" s="17" t="s">
        <v>624</v>
      </c>
      <c r="H250" s="17" t="s">
        <v>49</v>
      </c>
      <c r="I250" s="17" t="s">
        <v>50</v>
      </c>
      <c r="J250" s="17">
        <v>2</v>
      </c>
      <c r="K250" s="19">
        <v>0</v>
      </c>
      <c r="L250" s="17" t="s">
        <v>339</v>
      </c>
      <c r="M250" s="17"/>
    </row>
    <row r="251" spans="2:13" ht="63.75" x14ac:dyDescent="0.25">
      <c r="B251" s="19" t="s">
        <v>191</v>
      </c>
      <c r="C251" s="60"/>
      <c r="D251" s="57" t="s">
        <v>6</v>
      </c>
      <c r="E251" s="18" t="s">
        <v>51</v>
      </c>
      <c r="F251" s="17">
        <v>1.8</v>
      </c>
      <c r="G251" s="17" t="s">
        <v>624</v>
      </c>
      <c r="H251" s="17" t="s">
        <v>52</v>
      </c>
      <c r="I251" s="17" t="s">
        <v>53</v>
      </c>
      <c r="J251" s="17">
        <v>6</v>
      </c>
      <c r="K251" s="19">
        <v>5</v>
      </c>
      <c r="L251" s="17" t="s">
        <v>610</v>
      </c>
      <c r="M251" s="17"/>
    </row>
    <row r="252" spans="2:13" ht="38.25" x14ac:dyDescent="0.25">
      <c r="B252" s="19" t="s">
        <v>191</v>
      </c>
      <c r="C252" s="60"/>
      <c r="D252" s="57" t="s">
        <v>6</v>
      </c>
      <c r="E252" s="18" t="s">
        <v>54</v>
      </c>
      <c r="F252" s="17">
        <v>1.8</v>
      </c>
      <c r="G252" s="17" t="s">
        <v>624</v>
      </c>
      <c r="H252" s="17" t="s">
        <v>55</v>
      </c>
      <c r="I252" s="17" t="s">
        <v>56</v>
      </c>
      <c r="J252" s="17">
        <v>2</v>
      </c>
      <c r="K252" s="19">
        <v>0</v>
      </c>
      <c r="L252" s="17" t="s">
        <v>340</v>
      </c>
      <c r="M252" s="17"/>
    </row>
    <row r="253" spans="2:13" ht="64.5" customHeight="1" x14ac:dyDescent="0.25">
      <c r="B253" s="19" t="s">
        <v>191</v>
      </c>
      <c r="C253" s="60"/>
      <c r="D253" s="57" t="s">
        <v>6</v>
      </c>
      <c r="E253" s="18" t="s">
        <v>57</v>
      </c>
      <c r="F253" s="17">
        <v>1.9</v>
      </c>
      <c r="G253" s="17" t="s">
        <v>58</v>
      </c>
      <c r="H253" s="17" t="s">
        <v>59</v>
      </c>
      <c r="I253" s="17" t="s">
        <v>60</v>
      </c>
      <c r="J253" s="17">
        <v>2</v>
      </c>
      <c r="K253" s="19">
        <v>0</v>
      </c>
      <c r="L253" s="17" t="s">
        <v>343</v>
      </c>
      <c r="M253" s="17"/>
    </row>
    <row r="254" spans="2:13" ht="120" customHeight="1" x14ac:dyDescent="0.25">
      <c r="B254" s="19" t="s">
        <v>191</v>
      </c>
      <c r="C254" s="60"/>
      <c r="D254" s="57" t="s">
        <v>6</v>
      </c>
      <c r="E254" s="18" t="s">
        <v>61</v>
      </c>
      <c r="F254" s="17">
        <v>1.9</v>
      </c>
      <c r="G254" s="17" t="s">
        <v>58</v>
      </c>
      <c r="H254" s="17" t="s">
        <v>62</v>
      </c>
      <c r="I254" s="17" t="s">
        <v>63</v>
      </c>
      <c r="J254" s="17">
        <v>1</v>
      </c>
      <c r="K254" s="19">
        <v>1</v>
      </c>
      <c r="L254" s="17"/>
      <c r="M254" s="17"/>
    </row>
    <row r="255" spans="2:13" ht="70.5" customHeight="1" x14ac:dyDescent="0.25">
      <c r="B255" s="19" t="s">
        <v>191</v>
      </c>
      <c r="C255" s="60"/>
      <c r="D255" s="57" t="s">
        <v>6</v>
      </c>
      <c r="E255" s="18" t="s">
        <v>64</v>
      </c>
      <c r="F255" s="17">
        <v>1.9</v>
      </c>
      <c r="G255" s="17" t="s">
        <v>58</v>
      </c>
      <c r="H255" s="17" t="s">
        <v>65</v>
      </c>
      <c r="I255" s="17" t="s">
        <v>66</v>
      </c>
      <c r="J255" s="17">
        <v>2</v>
      </c>
      <c r="K255" s="19">
        <v>0</v>
      </c>
      <c r="L255" s="17" t="s">
        <v>342</v>
      </c>
      <c r="M255" s="17"/>
    </row>
    <row r="256" spans="2:13" ht="76.5" x14ac:dyDescent="0.25">
      <c r="B256" s="19" t="s">
        <v>191</v>
      </c>
      <c r="C256" s="61"/>
      <c r="D256" s="57" t="s">
        <v>67</v>
      </c>
      <c r="E256" s="18" t="s">
        <v>68</v>
      </c>
      <c r="F256" s="17">
        <v>2.1</v>
      </c>
      <c r="G256" s="17" t="s">
        <v>642</v>
      </c>
      <c r="H256" s="17" t="s">
        <v>69</v>
      </c>
      <c r="I256" s="17" t="s">
        <v>70</v>
      </c>
      <c r="J256" s="17">
        <v>2</v>
      </c>
      <c r="K256" s="19">
        <v>2</v>
      </c>
      <c r="L256" s="17"/>
      <c r="M256" s="17" t="s">
        <v>341</v>
      </c>
    </row>
    <row r="257" spans="2:13" ht="93.75" customHeight="1" x14ac:dyDescent="0.25">
      <c r="B257" s="19" t="s">
        <v>191</v>
      </c>
      <c r="C257" s="61"/>
      <c r="D257" s="57" t="s">
        <v>71</v>
      </c>
      <c r="E257" s="18" t="s">
        <v>72</v>
      </c>
      <c r="F257" s="17">
        <v>2.2000000000000002</v>
      </c>
      <c r="G257" s="17" t="s">
        <v>73</v>
      </c>
      <c r="H257" s="17" t="s">
        <v>74</v>
      </c>
      <c r="I257" s="17" t="s">
        <v>75</v>
      </c>
      <c r="J257" s="17">
        <v>3</v>
      </c>
      <c r="K257" s="19">
        <v>2</v>
      </c>
      <c r="L257" s="17"/>
      <c r="M257" s="17" t="s">
        <v>341</v>
      </c>
    </row>
    <row r="258" spans="2:13" ht="93" customHeight="1" x14ac:dyDescent="0.25">
      <c r="B258" s="19" t="s">
        <v>191</v>
      </c>
      <c r="C258" s="61"/>
      <c r="D258" s="57" t="s">
        <v>71</v>
      </c>
      <c r="E258" s="18" t="s">
        <v>76</v>
      </c>
      <c r="F258" s="17">
        <v>2.2999999999999998</v>
      </c>
      <c r="G258" s="17" t="s">
        <v>77</v>
      </c>
      <c r="H258" s="17" t="s">
        <v>78</v>
      </c>
      <c r="I258" s="17" t="s">
        <v>75</v>
      </c>
      <c r="J258" s="17">
        <v>3</v>
      </c>
      <c r="K258" s="19">
        <v>2</v>
      </c>
      <c r="L258" s="17"/>
      <c r="M258" s="17" t="s">
        <v>341</v>
      </c>
    </row>
    <row r="259" spans="2:13" ht="93" customHeight="1" x14ac:dyDescent="0.25">
      <c r="B259" s="19" t="s">
        <v>191</v>
      </c>
      <c r="C259" s="61"/>
      <c r="D259" s="57" t="s">
        <v>71</v>
      </c>
      <c r="E259" s="18" t="s">
        <v>79</v>
      </c>
      <c r="F259" s="17">
        <v>2.4</v>
      </c>
      <c r="G259" s="17" t="s">
        <v>80</v>
      </c>
      <c r="H259" s="17" t="s">
        <v>81</v>
      </c>
      <c r="I259" s="17" t="s">
        <v>75</v>
      </c>
      <c r="J259" s="17">
        <v>3</v>
      </c>
      <c r="K259" s="19">
        <v>3</v>
      </c>
      <c r="L259" s="17"/>
      <c r="M259" s="17" t="s">
        <v>341</v>
      </c>
    </row>
    <row r="260" spans="2:13" ht="42" customHeight="1" x14ac:dyDescent="0.25">
      <c r="B260" s="19" t="s">
        <v>191</v>
      </c>
      <c r="C260" s="61"/>
      <c r="D260" s="57" t="s">
        <v>67</v>
      </c>
      <c r="E260" s="18" t="s">
        <v>82</v>
      </c>
      <c r="F260" s="17">
        <v>2.5</v>
      </c>
      <c r="G260" s="17" t="s">
        <v>83</v>
      </c>
      <c r="H260" s="17" t="s">
        <v>84</v>
      </c>
      <c r="I260" s="17" t="s">
        <v>85</v>
      </c>
      <c r="J260" s="17">
        <v>1</v>
      </c>
      <c r="K260" s="19">
        <v>0.5</v>
      </c>
      <c r="L260" s="17" t="s">
        <v>439</v>
      </c>
      <c r="M260" s="17" t="s">
        <v>341</v>
      </c>
    </row>
    <row r="261" spans="2:13" ht="38.25" x14ac:dyDescent="0.25">
      <c r="B261" s="19" t="s">
        <v>191</v>
      </c>
      <c r="C261" s="61"/>
      <c r="D261" s="57" t="s">
        <v>67</v>
      </c>
      <c r="E261" s="18" t="s">
        <v>86</v>
      </c>
      <c r="F261" s="17">
        <v>2.6</v>
      </c>
      <c r="G261" s="17" t="s">
        <v>625</v>
      </c>
      <c r="H261" s="17" t="s">
        <v>87</v>
      </c>
      <c r="I261" s="17" t="s">
        <v>88</v>
      </c>
      <c r="J261" s="17">
        <v>2</v>
      </c>
      <c r="K261" s="19">
        <v>0</v>
      </c>
      <c r="L261" s="17" t="s">
        <v>343</v>
      </c>
      <c r="M261" s="17" t="s">
        <v>341</v>
      </c>
    </row>
    <row r="262" spans="2:13" ht="63.75" customHeight="1" x14ac:dyDescent="0.25">
      <c r="B262" s="19" t="s">
        <v>191</v>
      </c>
      <c r="C262" s="61"/>
      <c r="D262" s="57" t="s">
        <v>67</v>
      </c>
      <c r="E262" s="18" t="s">
        <v>89</v>
      </c>
      <c r="F262" s="17">
        <v>2.6</v>
      </c>
      <c r="G262" s="17" t="s">
        <v>625</v>
      </c>
      <c r="H262" s="17" t="s">
        <v>90</v>
      </c>
      <c r="I262" s="17" t="s">
        <v>91</v>
      </c>
      <c r="J262" s="17">
        <v>1</v>
      </c>
      <c r="K262" s="19"/>
      <c r="L262" s="17"/>
      <c r="M262" s="17" t="s">
        <v>341</v>
      </c>
    </row>
    <row r="263" spans="2:13" ht="44.25" customHeight="1" x14ac:dyDescent="0.25">
      <c r="B263" s="19" t="s">
        <v>191</v>
      </c>
      <c r="C263" s="61"/>
      <c r="D263" s="57" t="s">
        <v>92</v>
      </c>
      <c r="E263" s="18" t="s">
        <v>93</v>
      </c>
      <c r="F263" s="17">
        <v>2.7</v>
      </c>
      <c r="G263" s="17" t="s">
        <v>626</v>
      </c>
      <c r="H263" s="17" t="s">
        <v>94</v>
      </c>
      <c r="I263" s="17" t="s">
        <v>85</v>
      </c>
      <c r="J263" s="17">
        <v>1</v>
      </c>
      <c r="K263" s="19">
        <v>0</v>
      </c>
      <c r="L263" s="17"/>
      <c r="M263" s="17" t="s">
        <v>341</v>
      </c>
    </row>
    <row r="264" spans="2:13" ht="102" x14ac:dyDescent="0.25">
      <c r="B264" s="19" t="s">
        <v>191</v>
      </c>
      <c r="C264" s="61"/>
      <c r="D264" s="57" t="s">
        <v>92</v>
      </c>
      <c r="E264" s="18" t="s">
        <v>95</v>
      </c>
      <c r="F264" s="17">
        <v>2.8</v>
      </c>
      <c r="G264" s="17" t="s">
        <v>96</v>
      </c>
      <c r="H264" s="17" t="s">
        <v>97</v>
      </c>
      <c r="I264" s="17" t="s">
        <v>98</v>
      </c>
      <c r="J264" s="17">
        <v>3</v>
      </c>
      <c r="K264" s="19">
        <v>3</v>
      </c>
      <c r="L264" s="17"/>
      <c r="M264" s="17" t="s">
        <v>341</v>
      </c>
    </row>
    <row r="265" spans="2:13" ht="52.5" customHeight="1" x14ac:dyDescent="0.25">
      <c r="B265" s="19" t="s">
        <v>191</v>
      </c>
      <c r="C265" s="61"/>
      <c r="D265" s="57" t="s">
        <v>92</v>
      </c>
      <c r="E265" s="18" t="s">
        <v>99</v>
      </c>
      <c r="F265" s="17">
        <v>2.9</v>
      </c>
      <c r="G265" s="17" t="s">
        <v>100</v>
      </c>
      <c r="H265" s="17" t="s">
        <v>101</v>
      </c>
      <c r="I265" s="17" t="s">
        <v>85</v>
      </c>
      <c r="J265" s="17">
        <v>1</v>
      </c>
      <c r="K265" s="19">
        <v>0</v>
      </c>
      <c r="L265" s="17"/>
      <c r="M265" s="17" t="s">
        <v>341</v>
      </c>
    </row>
    <row r="266" spans="2:13" ht="39.75" customHeight="1" x14ac:dyDescent="0.25">
      <c r="B266" s="19" t="s">
        <v>191</v>
      </c>
      <c r="C266" s="61"/>
      <c r="D266" s="57" t="s">
        <v>92</v>
      </c>
      <c r="E266" s="18" t="s">
        <v>102</v>
      </c>
      <c r="F266" s="17">
        <v>2.9</v>
      </c>
      <c r="G266" s="17" t="s">
        <v>100</v>
      </c>
      <c r="H266" s="17" t="s">
        <v>103</v>
      </c>
      <c r="I266" s="17" t="s">
        <v>85</v>
      </c>
      <c r="J266" s="17">
        <v>1</v>
      </c>
      <c r="K266" s="19">
        <v>0</v>
      </c>
      <c r="L266" s="17"/>
      <c r="M266" s="17" t="s">
        <v>341</v>
      </c>
    </row>
    <row r="267" spans="2:13" ht="51" customHeight="1" x14ac:dyDescent="0.25">
      <c r="B267" s="19" t="s">
        <v>191</v>
      </c>
      <c r="C267" s="61"/>
      <c r="D267" s="57" t="s">
        <v>92</v>
      </c>
      <c r="E267" s="18" t="s">
        <v>104</v>
      </c>
      <c r="F267" s="17">
        <v>2.9</v>
      </c>
      <c r="G267" s="17" t="s">
        <v>100</v>
      </c>
      <c r="H267" s="17" t="s">
        <v>105</v>
      </c>
      <c r="I267" s="17" t="s">
        <v>85</v>
      </c>
      <c r="J267" s="17">
        <v>1</v>
      </c>
      <c r="K267" s="19">
        <v>0</v>
      </c>
      <c r="L267" s="17"/>
      <c r="M267" s="17" t="s">
        <v>341</v>
      </c>
    </row>
    <row r="268" spans="2:13" ht="41.25" customHeight="1" x14ac:dyDescent="0.25">
      <c r="B268" s="19" t="s">
        <v>191</v>
      </c>
      <c r="C268" s="62"/>
      <c r="D268" s="57" t="s">
        <v>106</v>
      </c>
      <c r="E268" s="18" t="s">
        <v>107</v>
      </c>
      <c r="F268" s="17">
        <v>3.1</v>
      </c>
      <c r="G268" s="17" t="s">
        <v>108</v>
      </c>
      <c r="H268" s="17" t="s">
        <v>109</v>
      </c>
      <c r="I268" s="17" t="s">
        <v>110</v>
      </c>
      <c r="J268" s="17">
        <v>1</v>
      </c>
      <c r="K268" s="19">
        <v>0</v>
      </c>
      <c r="L268" s="17"/>
      <c r="M268" s="21" t="s">
        <v>494</v>
      </c>
    </row>
    <row r="269" spans="2:13" ht="51" x14ac:dyDescent="0.25">
      <c r="B269" s="19" t="s">
        <v>191</v>
      </c>
      <c r="C269" s="62"/>
      <c r="D269" s="57" t="s">
        <v>111</v>
      </c>
      <c r="E269" s="18" t="s">
        <v>112</v>
      </c>
      <c r="F269" s="17">
        <v>3.2</v>
      </c>
      <c r="G269" s="17" t="s">
        <v>113</v>
      </c>
      <c r="H269" s="17" t="s">
        <v>114</v>
      </c>
      <c r="I269" s="17" t="s">
        <v>115</v>
      </c>
      <c r="J269" s="17">
        <v>1</v>
      </c>
      <c r="K269" s="19">
        <v>1</v>
      </c>
      <c r="L269" s="17" t="s">
        <v>491</v>
      </c>
      <c r="M269" s="21" t="s">
        <v>494</v>
      </c>
    </row>
    <row r="270" spans="2:13" ht="56.25" customHeight="1" x14ac:dyDescent="0.25">
      <c r="B270" s="19" t="s">
        <v>191</v>
      </c>
      <c r="C270" s="62"/>
      <c r="D270" s="57" t="s">
        <v>111</v>
      </c>
      <c r="E270" s="18" t="s">
        <v>116</v>
      </c>
      <c r="F270" s="17">
        <v>3.2</v>
      </c>
      <c r="G270" s="17" t="s">
        <v>113</v>
      </c>
      <c r="H270" s="17" t="s">
        <v>117</v>
      </c>
      <c r="I270" s="17" t="s">
        <v>115</v>
      </c>
      <c r="J270" s="17">
        <v>1</v>
      </c>
      <c r="K270" s="19">
        <v>1</v>
      </c>
      <c r="L270" s="17" t="s">
        <v>491</v>
      </c>
      <c r="M270" s="21" t="s">
        <v>494</v>
      </c>
    </row>
    <row r="271" spans="2:13" ht="51" x14ac:dyDescent="0.25">
      <c r="B271" s="19" t="s">
        <v>191</v>
      </c>
      <c r="C271" s="62"/>
      <c r="D271" s="57" t="s">
        <v>111</v>
      </c>
      <c r="E271" s="18" t="s">
        <v>118</v>
      </c>
      <c r="F271" s="17">
        <v>3.2</v>
      </c>
      <c r="G271" s="17" t="s">
        <v>113</v>
      </c>
      <c r="H271" s="17" t="s">
        <v>119</v>
      </c>
      <c r="I271" s="17" t="s">
        <v>115</v>
      </c>
      <c r="J271" s="17">
        <v>1</v>
      </c>
      <c r="K271" s="19">
        <v>1</v>
      </c>
      <c r="L271" s="17" t="s">
        <v>491</v>
      </c>
      <c r="M271" s="21" t="s">
        <v>494</v>
      </c>
    </row>
    <row r="272" spans="2:13" ht="95.25" customHeight="1" x14ac:dyDescent="0.25">
      <c r="B272" s="19" t="s">
        <v>191</v>
      </c>
      <c r="C272" s="62"/>
      <c r="D272" s="57" t="s">
        <v>111</v>
      </c>
      <c r="E272" s="18" t="s">
        <v>120</v>
      </c>
      <c r="F272" s="17">
        <v>3.3</v>
      </c>
      <c r="G272" s="17" t="s">
        <v>627</v>
      </c>
      <c r="H272" s="17" t="s">
        <v>121</v>
      </c>
      <c r="I272" s="17" t="s">
        <v>122</v>
      </c>
      <c r="J272" s="17">
        <v>1</v>
      </c>
      <c r="K272" s="19">
        <v>0</v>
      </c>
      <c r="L272" s="17" t="s">
        <v>492</v>
      </c>
      <c r="M272" s="21" t="s">
        <v>494</v>
      </c>
    </row>
    <row r="273" spans="2:13" ht="54.75" customHeight="1" x14ac:dyDescent="0.25">
      <c r="B273" s="19" t="s">
        <v>191</v>
      </c>
      <c r="C273" s="62"/>
      <c r="D273" s="57" t="s">
        <v>111</v>
      </c>
      <c r="E273" s="18" t="s">
        <v>123</v>
      </c>
      <c r="F273" s="17">
        <v>3.4</v>
      </c>
      <c r="G273" s="17" t="s">
        <v>628</v>
      </c>
      <c r="H273" s="17" t="s">
        <v>124</v>
      </c>
      <c r="I273" s="17" t="s">
        <v>115</v>
      </c>
      <c r="J273" s="17">
        <v>1</v>
      </c>
      <c r="K273" s="19">
        <v>0</v>
      </c>
      <c r="L273" s="17"/>
      <c r="M273" s="21" t="s">
        <v>494</v>
      </c>
    </row>
    <row r="274" spans="2:13" ht="99.75" customHeight="1" x14ac:dyDescent="0.25">
      <c r="B274" s="19" t="s">
        <v>191</v>
      </c>
      <c r="C274" s="62"/>
      <c r="D274" s="57" t="s">
        <v>125</v>
      </c>
      <c r="E274" s="18" t="s">
        <v>126</v>
      </c>
      <c r="F274" s="17">
        <v>3.5</v>
      </c>
      <c r="G274" s="17" t="s">
        <v>127</v>
      </c>
      <c r="H274" s="17" t="s">
        <v>128</v>
      </c>
      <c r="I274" s="17" t="s">
        <v>129</v>
      </c>
      <c r="J274" s="17">
        <v>1</v>
      </c>
      <c r="K274" s="19">
        <v>0</v>
      </c>
      <c r="L274" s="17"/>
      <c r="M274" s="21" t="s">
        <v>494</v>
      </c>
    </row>
    <row r="275" spans="2:13" ht="54" customHeight="1" x14ac:dyDescent="0.25">
      <c r="B275" s="19" t="s">
        <v>191</v>
      </c>
      <c r="C275" s="62"/>
      <c r="D275" s="57" t="s">
        <v>130</v>
      </c>
      <c r="E275" s="18" t="s">
        <v>131</v>
      </c>
      <c r="F275" s="17">
        <v>3.6</v>
      </c>
      <c r="G275" s="17" t="s">
        <v>255</v>
      </c>
      <c r="H275" s="17" t="s">
        <v>132</v>
      </c>
      <c r="I275" s="17" t="s">
        <v>115</v>
      </c>
      <c r="J275" s="17">
        <v>1</v>
      </c>
      <c r="K275" s="19">
        <v>0</v>
      </c>
      <c r="L275" s="17"/>
      <c r="M275" s="21" t="s">
        <v>494</v>
      </c>
    </row>
    <row r="276" spans="2:13" ht="54.75" customHeight="1" x14ac:dyDescent="0.25">
      <c r="B276" s="19" t="s">
        <v>191</v>
      </c>
      <c r="C276" s="62"/>
      <c r="D276" s="57" t="s">
        <v>130</v>
      </c>
      <c r="E276" s="18" t="s">
        <v>133</v>
      </c>
      <c r="F276" s="17">
        <v>3.7</v>
      </c>
      <c r="G276" s="17" t="s">
        <v>260</v>
      </c>
      <c r="H276" s="17" t="s">
        <v>134</v>
      </c>
      <c r="I276" s="17" t="s">
        <v>135</v>
      </c>
      <c r="J276" s="17">
        <v>1</v>
      </c>
      <c r="K276" s="19">
        <v>0</v>
      </c>
      <c r="L276" s="17" t="s">
        <v>493</v>
      </c>
      <c r="M276" s="21" t="s">
        <v>495</v>
      </c>
    </row>
    <row r="277" spans="2:13" ht="55.5" customHeight="1" x14ac:dyDescent="0.25">
      <c r="B277" s="19" t="s">
        <v>191</v>
      </c>
      <c r="C277" s="63"/>
      <c r="D277" s="57" t="s">
        <v>136</v>
      </c>
      <c r="E277" s="18" t="s">
        <v>137</v>
      </c>
      <c r="F277" s="17">
        <v>4.0999999999999996</v>
      </c>
      <c r="G277" s="17" t="s">
        <v>629</v>
      </c>
      <c r="H277" s="17" t="s">
        <v>138</v>
      </c>
      <c r="I277" s="17" t="s">
        <v>85</v>
      </c>
      <c r="J277" s="17">
        <v>1</v>
      </c>
      <c r="K277" s="19">
        <v>0</v>
      </c>
      <c r="L277" s="17" t="s">
        <v>547</v>
      </c>
      <c r="M277" s="17"/>
    </row>
    <row r="278" spans="2:13" ht="51" x14ac:dyDescent="0.25">
      <c r="B278" s="19" t="s">
        <v>191</v>
      </c>
      <c r="C278" s="63"/>
      <c r="D278" s="57" t="s">
        <v>139</v>
      </c>
      <c r="E278" s="18" t="s">
        <v>140</v>
      </c>
      <c r="F278" s="17">
        <v>4.2</v>
      </c>
      <c r="G278" s="17" t="s">
        <v>630</v>
      </c>
      <c r="H278" s="17" t="s">
        <v>141</v>
      </c>
      <c r="I278" s="17" t="s">
        <v>142</v>
      </c>
      <c r="J278" s="17">
        <v>2</v>
      </c>
      <c r="K278" s="19">
        <v>0.5</v>
      </c>
      <c r="L278" s="17" t="s">
        <v>548</v>
      </c>
      <c r="M278" s="17" t="s">
        <v>426</v>
      </c>
    </row>
    <row r="279" spans="2:13" ht="52.5" customHeight="1" x14ac:dyDescent="0.25">
      <c r="B279" s="19" t="s">
        <v>191</v>
      </c>
      <c r="C279" s="63"/>
      <c r="D279" s="57" t="s">
        <v>139</v>
      </c>
      <c r="E279" s="18" t="s">
        <v>143</v>
      </c>
      <c r="F279" s="17">
        <v>4.3</v>
      </c>
      <c r="G279" s="17" t="s">
        <v>631</v>
      </c>
      <c r="H279" s="17" t="s">
        <v>144</v>
      </c>
      <c r="I279" s="17" t="s">
        <v>142</v>
      </c>
      <c r="J279" s="17">
        <v>2</v>
      </c>
      <c r="K279" s="19">
        <v>0.5</v>
      </c>
      <c r="L279" s="17" t="s">
        <v>548</v>
      </c>
      <c r="M279" s="17" t="s">
        <v>426</v>
      </c>
    </row>
    <row r="280" spans="2:13" ht="135" customHeight="1" x14ac:dyDescent="0.25">
      <c r="B280" s="19" t="s">
        <v>191</v>
      </c>
      <c r="C280" s="63"/>
      <c r="D280" s="57" t="s">
        <v>139</v>
      </c>
      <c r="E280" s="18" t="s">
        <v>145</v>
      </c>
      <c r="F280" s="17">
        <v>4.4000000000000004</v>
      </c>
      <c r="G280" s="17" t="s">
        <v>632</v>
      </c>
      <c r="H280" s="17" t="s">
        <v>146</v>
      </c>
      <c r="I280" s="17" t="s">
        <v>147</v>
      </c>
      <c r="J280" s="17">
        <v>7</v>
      </c>
      <c r="K280" s="19">
        <v>0</v>
      </c>
      <c r="L280" s="17" t="s">
        <v>549</v>
      </c>
      <c r="M280" s="17" t="s">
        <v>426</v>
      </c>
    </row>
    <row r="281" spans="2:13" ht="53.25" customHeight="1" x14ac:dyDescent="0.25">
      <c r="B281" s="19" t="s">
        <v>191</v>
      </c>
      <c r="C281" s="63"/>
      <c r="D281" s="57" t="s">
        <v>148</v>
      </c>
      <c r="E281" s="18" t="s">
        <v>149</v>
      </c>
      <c r="F281" s="17">
        <v>4.5</v>
      </c>
      <c r="G281" s="17" t="s">
        <v>633</v>
      </c>
      <c r="H281" s="17" t="s">
        <v>150</v>
      </c>
      <c r="I281" s="17" t="s">
        <v>115</v>
      </c>
      <c r="J281" s="17">
        <v>1</v>
      </c>
      <c r="K281" s="19">
        <v>0</v>
      </c>
      <c r="L281" s="17" t="s">
        <v>550</v>
      </c>
      <c r="M281" s="17" t="s">
        <v>426</v>
      </c>
    </row>
    <row r="282" spans="2:13" ht="53.25" customHeight="1" x14ac:dyDescent="0.25">
      <c r="B282" s="19" t="s">
        <v>191</v>
      </c>
      <c r="C282" s="63"/>
      <c r="D282" s="57" t="s">
        <v>148</v>
      </c>
      <c r="E282" s="18" t="s">
        <v>151</v>
      </c>
      <c r="F282" s="17">
        <v>4.5999999999999996</v>
      </c>
      <c r="G282" s="17" t="s">
        <v>634</v>
      </c>
      <c r="H282" s="17" t="s">
        <v>152</v>
      </c>
      <c r="I282" s="17" t="s">
        <v>85</v>
      </c>
      <c r="J282" s="17">
        <v>1</v>
      </c>
      <c r="K282" s="19">
        <v>0</v>
      </c>
      <c r="L282" s="17" t="s">
        <v>550</v>
      </c>
      <c r="M282" s="17" t="s">
        <v>426</v>
      </c>
    </row>
    <row r="283" spans="2:13" ht="53.25" customHeight="1" x14ac:dyDescent="0.25">
      <c r="B283" s="19" t="s">
        <v>191</v>
      </c>
      <c r="C283" s="63"/>
      <c r="D283" s="57" t="s">
        <v>148</v>
      </c>
      <c r="E283" s="18" t="s">
        <v>153</v>
      </c>
      <c r="F283" s="17">
        <v>4.7</v>
      </c>
      <c r="G283" s="17" t="s">
        <v>635</v>
      </c>
      <c r="H283" s="17" t="s">
        <v>154</v>
      </c>
      <c r="I283" s="17" t="s">
        <v>85</v>
      </c>
      <c r="J283" s="17">
        <v>1</v>
      </c>
      <c r="K283" s="19">
        <v>0</v>
      </c>
      <c r="L283" s="17"/>
      <c r="M283" s="17" t="s">
        <v>426</v>
      </c>
    </row>
    <row r="284" spans="2:13" ht="53.25" customHeight="1" x14ac:dyDescent="0.25">
      <c r="B284" s="19" t="s">
        <v>191</v>
      </c>
      <c r="C284" s="63"/>
      <c r="D284" s="57" t="s">
        <v>148</v>
      </c>
      <c r="E284" s="18" t="s">
        <v>155</v>
      </c>
      <c r="F284" s="17">
        <v>4.8</v>
      </c>
      <c r="G284" s="17" t="s">
        <v>156</v>
      </c>
      <c r="H284" s="17" t="s">
        <v>157</v>
      </c>
      <c r="I284" s="17" t="s">
        <v>85</v>
      </c>
      <c r="J284" s="17">
        <v>1</v>
      </c>
      <c r="K284" s="19">
        <v>0</v>
      </c>
      <c r="L284" s="17"/>
      <c r="M284" s="17" t="s">
        <v>426</v>
      </c>
    </row>
    <row r="285" spans="2:13" ht="25.5" x14ac:dyDescent="0.25">
      <c r="B285" s="19" t="s">
        <v>191</v>
      </c>
      <c r="C285" s="63"/>
      <c r="D285" s="57" t="s">
        <v>136</v>
      </c>
      <c r="E285" s="18" t="s">
        <v>158</v>
      </c>
      <c r="F285" s="17">
        <v>4.9000000000000004</v>
      </c>
      <c r="G285" s="17" t="s">
        <v>636</v>
      </c>
      <c r="H285" s="17" t="s">
        <v>159</v>
      </c>
      <c r="I285" s="17" t="s">
        <v>85</v>
      </c>
      <c r="J285" s="17">
        <v>1</v>
      </c>
      <c r="K285" s="19">
        <v>0</v>
      </c>
      <c r="L285" s="17"/>
      <c r="M285" s="17" t="s">
        <v>426</v>
      </c>
    </row>
    <row r="286" spans="2:13" ht="25.5" x14ac:dyDescent="0.25">
      <c r="B286" s="19" t="s">
        <v>191</v>
      </c>
      <c r="C286" s="63"/>
      <c r="D286" s="57" t="s">
        <v>136</v>
      </c>
      <c r="E286" s="18" t="s">
        <v>160</v>
      </c>
      <c r="F286" s="27">
        <v>4.0999999999999996</v>
      </c>
      <c r="G286" s="17" t="s">
        <v>637</v>
      </c>
      <c r="H286" s="17" t="s">
        <v>161</v>
      </c>
      <c r="I286" s="17" t="s">
        <v>85</v>
      </c>
      <c r="J286" s="17">
        <v>1</v>
      </c>
      <c r="K286" s="19">
        <v>0</v>
      </c>
      <c r="L286" s="17"/>
      <c r="M286" s="17" t="s">
        <v>426</v>
      </c>
    </row>
    <row r="287" spans="2:13" ht="65.25" customHeight="1" x14ac:dyDescent="0.25">
      <c r="B287" s="19" t="s">
        <v>191</v>
      </c>
      <c r="C287" s="63"/>
      <c r="D287" s="57" t="s">
        <v>136</v>
      </c>
      <c r="E287" s="18" t="s">
        <v>162</v>
      </c>
      <c r="F287" s="17">
        <v>4.1100000000000003</v>
      </c>
      <c r="G287" s="17" t="s">
        <v>638</v>
      </c>
      <c r="H287" s="17" t="s">
        <v>163</v>
      </c>
      <c r="I287" s="17" t="s">
        <v>85</v>
      </c>
      <c r="J287" s="17">
        <v>1</v>
      </c>
      <c r="K287" s="19">
        <v>1</v>
      </c>
      <c r="L287" s="17"/>
      <c r="M287" s="17" t="s">
        <v>426</v>
      </c>
    </row>
    <row r="288" spans="2:13" ht="52.5" customHeight="1" x14ac:dyDescent="0.25">
      <c r="B288" s="19" t="s">
        <v>191</v>
      </c>
      <c r="C288" s="63"/>
      <c r="D288" s="57" t="s">
        <v>136</v>
      </c>
      <c r="E288" s="18" t="s">
        <v>164</v>
      </c>
      <c r="F288" s="17">
        <v>4.12</v>
      </c>
      <c r="G288" s="17" t="s">
        <v>639</v>
      </c>
      <c r="H288" s="17" t="s">
        <v>165</v>
      </c>
      <c r="I288" s="17" t="s">
        <v>85</v>
      </c>
      <c r="J288" s="17">
        <v>1</v>
      </c>
      <c r="K288" s="19">
        <v>0</v>
      </c>
      <c r="L288" s="17"/>
      <c r="M288" s="17" t="s">
        <v>551</v>
      </c>
    </row>
    <row r="289" spans="2:13" ht="39" thickBot="1" x14ac:dyDescent="0.3">
      <c r="B289" s="69" t="s">
        <v>191</v>
      </c>
      <c r="C289" s="70"/>
      <c r="D289" s="71" t="s">
        <v>136</v>
      </c>
      <c r="E289" s="72" t="s">
        <v>166</v>
      </c>
      <c r="F289" s="73">
        <v>4.13</v>
      </c>
      <c r="G289" s="73" t="s">
        <v>640</v>
      </c>
      <c r="H289" s="73" t="s">
        <v>167</v>
      </c>
      <c r="I289" s="73" t="s">
        <v>85</v>
      </c>
      <c r="J289" s="73">
        <v>1</v>
      </c>
      <c r="K289" s="69">
        <v>0</v>
      </c>
      <c r="L289" s="73"/>
      <c r="M289" s="73" t="s">
        <v>426</v>
      </c>
    </row>
    <row r="290" spans="2:13" ht="51.75" thickTop="1" x14ac:dyDescent="0.25">
      <c r="B290" s="52" t="s">
        <v>190</v>
      </c>
      <c r="C290" s="65"/>
      <c r="D290" s="59" t="s">
        <v>6</v>
      </c>
      <c r="E290" s="51" t="s">
        <v>7</v>
      </c>
      <c r="F290" s="50">
        <v>1.1000000000000001</v>
      </c>
      <c r="G290" s="50" t="s">
        <v>618</v>
      </c>
      <c r="H290" s="50" t="s">
        <v>8</v>
      </c>
      <c r="I290" s="50" t="s">
        <v>9</v>
      </c>
      <c r="J290" s="50">
        <v>2</v>
      </c>
      <c r="K290" s="52">
        <v>2</v>
      </c>
      <c r="L290" s="50"/>
      <c r="M290" s="53" t="s">
        <v>661</v>
      </c>
    </row>
    <row r="291" spans="2:13" ht="51" x14ac:dyDescent="0.25">
      <c r="B291" s="19" t="s">
        <v>190</v>
      </c>
      <c r="C291" s="60"/>
      <c r="D291" s="57" t="s">
        <v>6</v>
      </c>
      <c r="E291" s="18" t="s">
        <v>10</v>
      </c>
      <c r="F291" s="17">
        <v>1.1000000000000001</v>
      </c>
      <c r="G291" s="17" t="s">
        <v>618</v>
      </c>
      <c r="H291" s="17" t="s">
        <v>11</v>
      </c>
      <c r="I291" s="17" t="s">
        <v>9</v>
      </c>
      <c r="J291" s="17">
        <v>2</v>
      </c>
      <c r="K291" s="19">
        <v>2</v>
      </c>
      <c r="L291" s="17"/>
      <c r="M291" s="21" t="s">
        <v>347</v>
      </c>
    </row>
    <row r="292" spans="2:13" ht="51" x14ac:dyDescent="0.25">
      <c r="B292" s="19" t="s">
        <v>190</v>
      </c>
      <c r="C292" s="60"/>
      <c r="D292" s="57" t="s">
        <v>6</v>
      </c>
      <c r="E292" s="18" t="s">
        <v>12</v>
      </c>
      <c r="F292" s="17">
        <v>1.1000000000000001</v>
      </c>
      <c r="G292" s="17" t="s">
        <v>618</v>
      </c>
      <c r="H292" s="17" t="s">
        <v>13</v>
      </c>
      <c r="I292" s="17" t="s">
        <v>9</v>
      </c>
      <c r="J292" s="17">
        <v>2</v>
      </c>
      <c r="K292" s="19">
        <v>1</v>
      </c>
      <c r="L292" s="17" t="s">
        <v>348</v>
      </c>
      <c r="M292" s="21" t="s">
        <v>347</v>
      </c>
    </row>
    <row r="293" spans="2:13" ht="89.25" x14ac:dyDescent="0.25">
      <c r="B293" s="19" t="s">
        <v>190</v>
      </c>
      <c r="C293" s="60"/>
      <c r="D293" s="57" t="s">
        <v>6</v>
      </c>
      <c r="E293" s="18" t="s">
        <v>14</v>
      </c>
      <c r="F293" s="17">
        <v>1.2</v>
      </c>
      <c r="G293" s="17" t="s">
        <v>619</v>
      </c>
      <c r="H293" s="17" t="s">
        <v>15</v>
      </c>
      <c r="I293" s="17" t="s">
        <v>16</v>
      </c>
      <c r="J293" s="17">
        <v>3</v>
      </c>
      <c r="K293" s="19">
        <v>3</v>
      </c>
      <c r="L293" s="17"/>
      <c r="M293" s="21" t="s">
        <v>347</v>
      </c>
    </row>
    <row r="294" spans="2:13" ht="89.25" x14ac:dyDescent="0.25">
      <c r="B294" s="19" t="s">
        <v>190</v>
      </c>
      <c r="C294" s="60"/>
      <c r="D294" s="57" t="s">
        <v>6</v>
      </c>
      <c r="E294" s="18" t="s">
        <v>17</v>
      </c>
      <c r="F294" s="17">
        <v>1.2</v>
      </c>
      <c r="G294" s="17" t="s">
        <v>619</v>
      </c>
      <c r="H294" s="17" t="s">
        <v>18</v>
      </c>
      <c r="I294" s="17" t="s">
        <v>16</v>
      </c>
      <c r="J294" s="17">
        <v>3</v>
      </c>
      <c r="K294" s="19">
        <v>3</v>
      </c>
      <c r="L294" s="17"/>
      <c r="M294" s="21" t="s">
        <v>349</v>
      </c>
    </row>
    <row r="295" spans="2:13" ht="89.25" x14ac:dyDescent="0.25">
      <c r="B295" s="19" t="s">
        <v>190</v>
      </c>
      <c r="C295" s="60"/>
      <c r="D295" s="57" t="s">
        <v>6</v>
      </c>
      <c r="E295" s="18" t="s">
        <v>19</v>
      </c>
      <c r="F295" s="17">
        <v>1.2</v>
      </c>
      <c r="G295" s="17" t="s">
        <v>619</v>
      </c>
      <c r="H295" s="17" t="s">
        <v>20</v>
      </c>
      <c r="I295" s="17" t="s">
        <v>16</v>
      </c>
      <c r="J295" s="17">
        <v>3</v>
      </c>
      <c r="K295" s="19">
        <v>3</v>
      </c>
      <c r="L295" s="17"/>
      <c r="M295" s="21" t="s">
        <v>349</v>
      </c>
    </row>
    <row r="296" spans="2:13" ht="54.75" customHeight="1" x14ac:dyDescent="0.25">
      <c r="B296" s="19" t="s">
        <v>190</v>
      </c>
      <c r="C296" s="60"/>
      <c r="D296" s="57" t="s">
        <v>6</v>
      </c>
      <c r="E296" s="18" t="s">
        <v>21</v>
      </c>
      <c r="F296" s="17">
        <v>1.3</v>
      </c>
      <c r="G296" s="17" t="s">
        <v>620</v>
      </c>
      <c r="H296" s="17" t="s">
        <v>22</v>
      </c>
      <c r="I296" s="17" t="s">
        <v>23</v>
      </c>
      <c r="J296" s="17">
        <v>2</v>
      </c>
      <c r="K296" s="19">
        <v>2</v>
      </c>
      <c r="L296" s="17" t="s">
        <v>350</v>
      </c>
      <c r="M296" s="21" t="s">
        <v>349</v>
      </c>
    </row>
    <row r="297" spans="2:13" ht="79.5" customHeight="1" x14ac:dyDescent="0.25">
      <c r="B297" s="19" t="s">
        <v>190</v>
      </c>
      <c r="C297" s="60"/>
      <c r="D297" s="57" t="s">
        <v>6</v>
      </c>
      <c r="E297" s="18" t="s">
        <v>24</v>
      </c>
      <c r="F297" s="17">
        <v>1.4</v>
      </c>
      <c r="G297" s="17" t="s">
        <v>641</v>
      </c>
      <c r="H297" s="17" t="s">
        <v>25</v>
      </c>
      <c r="I297" s="17" t="s">
        <v>26</v>
      </c>
      <c r="J297" s="17">
        <v>2</v>
      </c>
      <c r="K297" s="19">
        <v>1</v>
      </c>
      <c r="L297" s="17"/>
      <c r="M297" s="21" t="s">
        <v>662</v>
      </c>
    </row>
    <row r="298" spans="2:13" ht="89.25" x14ac:dyDescent="0.25">
      <c r="B298" s="19" t="s">
        <v>190</v>
      </c>
      <c r="C298" s="60"/>
      <c r="D298" s="57" t="s">
        <v>6</v>
      </c>
      <c r="E298" s="18" t="s">
        <v>27</v>
      </c>
      <c r="F298" s="17">
        <v>1.5</v>
      </c>
      <c r="G298" s="17" t="s">
        <v>641</v>
      </c>
      <c r="H298" s="17" t="s">
        <v>28</v>
      </c>
      <c r="I298" s="17" t="s">
        <v>29</v>
      </c>
      <c r="J298" s="17">
        <v>3</v>
      </c>
      <c r="K298" s="19">
        <v>3</v>
      </c>
      <c r="L298" s="17" t="s">
        <v>353</v>
      </c>
      <c r="M298" s="21" t="s">
        <v>351</v>
      </c>
    </row>
    <row r="299" spans="2:13" ht="89.25" x14ac:dyDescent="0.25">
      <c r="B299" s="19" t="s">
        <v>190</v>
      </c>
      <c r="C299" s="60"/>
      <c r="D299" s="57" t="s">
        <v>6</v>
      </c>
      <c r="E299" s="18" t="s">
        <v>30</v>
      </c>
      <c r="F299" s="17">
        <v>1.5</v>
      </c>
      <c r="G299" s="17" t="s">
        <v>641</v>
      </c>
      <c r="H299" s="17" t="s">
        <v>31</v>
      </c>
      <c r="I299" s="17" t="s">
        <v>29</v>
      </c>
      <c r="J299" s="17">
        <v>3</v>
      </c>
      <c r="K299" s="19">
        <v>3</v>
      </c>
      <c r="L299" s="17" t="s">
        <v>353</v>
      </c>
      <c r="M299" s="21" t="s">
        <v>352</v>
      </c>
    </row>
    <row r="300" spans="2:13" ht="91.5" customHeight="1" x14ac:dyDescent="0.25">
      <c r="B300" s="19" t="s">
        <v>190</v>
      </c>
      <c r="C300" s="60"/>
      <c r="D300" s="57" t="s">
        <v>6</v>
      </c>
      <c r="E300" s="18" t="s">
        <v>32</v>
      </c>
      <c r="F300" s="17">
        <v>1.5</v>
      </c>
      <c r="G300" s="17" t="s">
        <v>621</v>
      </c>
      <c r="H300" s="17" t="s">
        <v>33</v>
      </c>
      <c r="I300" s="17" t="s">
        <v>29</v>
      </c>
      <c r="J300" s="17">
        <v>3</v>
      </c>
      <c r="K300" s="19">
        <v>3</v>
      </c>
      <c r="L300" s="17" t="s">
        <v>353</v>
      </c>
      <c r="M300" s="21" t="s">
        <v>354</v>
      </c>
    </row>
    <row r="301" spans="2:13" ht="94.5" customHeight="1" x14ac:dyDescent="0.25">
      <c r="B301" s="19" t="s">
        <v>190</v>
      </c>
      <c r="C301" s="60"/>
      <c r="D301" s="57" t="s">
        <v>6</v>
      </c>
      <c r="E301" s="18" t="s">
        <v>34</v>
      </c>
      <c r="F301" s="17">
        <v>1.6</v>
      </c>
      <c r="G301" s="17" t="s">
        <v>622</v>
      </c>
      <c r="H301" s="17" t="s">
        <v>35</v>
      </c>
      <c r="I301" s="17" t="s">
        <v>36</v>
      </c>
      <c r="J301" s="17">
        <v>3</v>
      </c>
      <c r="K301" s="19">
        <v>2</v>
      </c>
      <c r="L301" s="17" t="s">
        <v>355</v>
      </c>
      <c r="M301" s="21" t="s">
        <v>354</v>
      </c>
    </row>
    <row r="302" spans="2:13" ht="94.5" customHeight="1" x14ac:dyDescent="0.25">
      <c r="B302" s="19" t="s">
        <v>190</v>
      </c>
      <c r="C302" s="60"/>
      <c r="D302" s="57" t="s">
        <v>6</v>
      </c>
      <c r="E302" s="18" t="s">
        <v>37</v>
      </c>
      <c r="F302" s="17">
        <v>1.6</v>
      </c>
      <c r="G302" s="17" t="s">
        <v>622</v>
      </c>
      <c r="H302" s="17" t="s">
        <v>38</v>
      </c>
      <c r="I302" s="17" t="s">
        <v>36</v>
      </c>
      <c r="J302" s="17">
        <v>3</v>
      </c>
      <c r="K302" s="19">
        <v>2</v>
      </c>
      <c r="L302" s="17" t="s">
        <v>355</v>
      </c>
      <c r="M302" s="21" t="s">
        <v>354</v>
      </c>
    </row>
    <row r="303" spans="2:13" ht="94.5" customHeight="1" x14ac:dyDescent="0.25">
      <c r="B303" s="19" t="s">
        <v>190</v>
      </c>
      <c r="C303" s="60"/>
      <c r="D303" s="57" t="s">
        <v>6</v>
      </c>
      <c r="E303" s="18" t="s">
        <v>39</v>
      </c>
      <c r="F303" s="17">
        <v>1.6</v>
      </c>
      <c r="G303" s="17" t="s">
        <v>622</v>
      </c>
      <c r="H303" s="17" t="s">
        <v>40</v>
      </c>
      <c r="I303" s="17" t="s">
        <v>36</v>
      </c>
      <c r="J303" s="17">
        <v>3</v>
      </c>
      <c r="K303" s="19">
        <v>2</v>
      </c>
      <c r="L303" s="17" t="s">
        <v>355</v>
      </c>
      <c r="M303" s="21" t="s">
        <v>356</v>
      </c>
    </row>
    <row r="304" spans="2:13" ht="66" customHeight="1" x14ac:dyDescent="0.25">
      <c r="B304" s="19" t="s">
        <v>190</v>
      </c>
      <c r="C304" s="60"/>
      <c r="D304" s="57" t="s">
        <v>6</v>
      </c>
      <c r="E304" s="18" t="s">
        <v>41</v>
      </c>
      <c r="F304" s="17">
        <v>1.7</v>
      </c>
      <c r="G304" s="17" t="s">
        <v>623</v>
      </c>
      <c r="H304" s="17" t="s">
        <v>42</v>
      </c>
      <c r="I304" s="17" t="s">
        <v>43</v>
      </c>
      <c r="J304" s="17">
        <v>3</v>
      </c>
      <c r="K304" s="19">
        <v>3</v>
      </c>
      <c r="L304" s="17" t="s">
        <v>357</v>
      </c>
      <c r="M304" s="21" t="s">
        <v>356</v>
      </c>
    </row>
    <row r="305" spans="2:13" ht="66" customHeight="1" x14ac:dyDescent="0.25">
      <c r="B305" s="19" t="s">
        <v>190</v>
      </c>
      <c r="C305" s="60"/>
      <c r="D305" s="57" t="s">
        <v>6</v>
      </c>
      <c r="E305" s="18" t="s">
        <v>44</v>
      </c>
      <c r="F305" s="17">
        <v>1.7</v>
      </c>
      <c r="G305" s="17" t="s">
        <v>623</v>
      </c>
      <c r="H305" s="17" t="s">
        <v>45</v>
      </c>
      <c r="I305" s="17" t="s">
        <v>43</v>
      </c>
      <c r="J305" s="17">
        <v>3</v>
      </c>
      <c r="K305" s="19">
        <v>3</v>
      </c>
      <c r="L305" s="17" t="s">
        <v>357</v>
      </c>
      <c r="M305" s="21" t="s">
        <v>356</v>
      </c>
    </row>
    <row r="306" spans="2:13" ht="66" customHeight="1" x14ac:dyDescent="0.25">
      <c r="B306" s="19" t="s">
        <v>190</v>
      </c>
      <c r="C306" s="60"/>
      <c r="D306" s="57" t="s">
        <v>6</v>
      </c>
      <c r="E306" s="18" t="s">
        <v>46</v>
      </c>
      <c r="F306" s="17">
        <v>1.7</v>
      </c>
      <c r="G306" s="17" t="s">
        <v>623</v>
      </c>
      <c r="H306" s="17" t="s">
        <v>47</v>
      </c>
      <c r="I306" s="17" t="s">
        <v>43</v>
      </c>
      <c r="J306" s="17">
        <v>3</v>
      </c>
      <c r="K306" s="19">
        <v>2</v>
      </c>
      <c r="L306" s="17" t="s">
        <v>357</v>
      </c>
      <c r="M306" s="21" t="s">
        <v>358</v>
      </c>
    </row>
    <row r="307" spans="2:13" ht="79.5" customHeight="1" x14ac:dyDescent="0.25">
      <c r="B307" s="19" t="s">
        <v>190</v>
      </c>
      <c r="C307" s="60"/>
      <c r="D307" s="57" t="s">
        <v>6</v>
      </c>
      <c r="E307" s="18" t="s">
        <v>48</v>
      </c>
      <c r="F307" s="17">
        <v>1.8</v>
      </c>
      <c r="G307" s="17" t="s">
        <v>624</v>
      </c>
      <c r="H307" s="17" t="s">
        <v>49</v>
      </c>
      <c r="I307" s="17" t="s">
        <v>50</v>
      </c>
      <c r="J307" s="17">
        <v>2</v>
      </c>
      <c r="K307" s="19">
        <v>2</v>
      </c>
      <c r="L307" s="17" t="s">
        <v>359</v>
      </c>
      <c r="M307" s="21" t="s">
        <v>358</v>
      </c>
    </row>
    <row r="308" spans="2:13" ht="63.75" x14ac:dyDescent="0.25">
      <c r="B308" s="19" t="s">
        <v>190</v>
      </c>
      <c r="C308" s="60"/>
      <c r="D308" s="57" t="s">
        <v>6</v>
      </c>
      <c r="E308" s="18" t="s">
        <v>51</v>
      </c>
      <c r="F308" s="17">
        <v>1.8</v>
      </c>
      <c r="G308" s="17" t="s">
        <v>624</v>
      </c>
      <c r="H308" s="17" t="s">
        <v>52</v>
      </c>
      <c r="I308" s="17" t="s">
        <v>53</v>
      </c>
      <c r="J308" s="17">
        <v>6</v>
      </c>
      <c r="K308" s="19">
        <v>5</v>
      </c>
      <c r="L308" s="17" t="s">
        <v>608</v>
      </c>
      <c r="M308" s="21" t="s">
        <v>358</v>
      </c>
    </row>
    <row r="309" spans="2:13" ht="213.75" customHeight="1" x14ac:dyDescent="0.25">
      <c r="B309" s="19" t="s">
        <v>190</v>
      </c>
      <c r="C309" s="60"/>
      <c r="D309" s="57" t="s">
        <v>6</v>
      </c>
      <c r="E309" s="18" t="s">
        <v>54</v>
      </c>
      <c r="F309" s="17">
        <v>1.8</v>
      </c>
      <c r="G309" s="17" t="s">
        <v>624</v>
      </c>
      <c r="H309" s="17" t="s">
        <v>55</v>
      </c>
      <c r="I309" s="17" t="s">
        <v>56</v>
      </c>
      <c r="J309" s="17">
        <v>2</v>
      </c>
      <c r="K309" s="19">
        <v>2</v>
      </c>
      <c r="L309" s="17" t="s">
        <v>361</v>
      </c>
      <c r="M309" s="21" t="s">
        <v>360</v>
      </c>
    </row>
    <row r="310" spans="2:13" ht="66" customHeight="1" x14ac:dyDescent="0.25">
      <c r="B310" s="19" t="s">
        <v>190</v>
      </c>
      <c r="C310" s="60"/>
      <c r="D310" s="57" t="s">
        <v>6</v>
      </c>
      <c r="E310" s="18" t="s">
        <v>57</v>
      </c>
      <c r="F310" s="17">
        <v>1.9</v>
      </c>
      <c r="G310" s="17" t="s">
        <v>58</v>
      </c>
      <c r="H310" s="17" t="s">
        <v>59</v>
      </c>
      <c r="I310" s="17" t="s">
        <v>60</v>
      </c>
      <c r="J310" s="17">
        <v>2</v>
      </c>
      <c r="K310" s="19">
        <v>1</v>
      </c>
      <c r="L310" s="17" t="s">
        <v>363</v>
      </c>
      <c r="M310" s="21" t="s">
        <v>360</v>
      </c>
    </row>
    <row r="311" spans="2:13" ht="133.5" customHeight="1" x14ac:dyDescent="0.25">
      <c r="B311" s="19" t="s">
        <v>190</v>
      </c>
      <c r="C311" s="60"/>
      <c r="D311" s="57" t="s">
        <v>6</v>
      </c>
      <c r="E311" s="18" t="s">
        <v>61</v>
      </c>
      <c r="F311" s="17">
        <v>1.9</v>
      </c>
      <c r="G311" s="17" t="s">
        <v>58</v>
      </c>
      <c r="H311" s="17" t="s">
        <v>62</v>
      </c>
      <c r="I311" s="17" t="s">
        <v>63</v>
      </c>
      <c r="J311" s="17">
        <v>1</v>
      </c>
      <c r="K311" s="19">
        <v>2</v>
      </c>
      <c r="L311" s="17" t="s">
        <v>364</v>
      </c>
      <c r="M311" s="21" t="s">
        <v>362</v>
      </c>
    </row>
    <row r="312" spans="2:13" ht="120" customHeight="1" x14ac:dyDescent="0.25">
      <c r="B312" s="19" t="s">
        <v>190</v>
      </c>
      <c r="C312" s="60"/>
      <c r="D312" s="57" t="s">
        <v>6</v>
      </c>
      <c r="E312" s="18" t="s">
        <v>64</v>
      </c>
      <c r="F312" s="17">
        <v>1.9</v>
      </c>
      <c r="G312" s="17" t="s">
        <v>58</v>
      </c>
      <c r="H312" s="17" t="s">
        <v>65</v>
      </c>
      <c r="I312" s="17" t="s">
        <v>66</v>
      </c>
      <c r="J312" s="17">
        <v>2</v>
      </c>
      <c r="K312" s="19">
        <v>2</v>
      </c>
      <c r="L312" s="17" t="s">
        <v>365</v>
      </c>
      <c r="M312" s="21" t="s">
        <v>360</v>
      </c>
    </row>
    <row r="313" spans="2:13" ht="76.5" x14ac:dyDescent="0.25">
      <c r="B313" s="19" t="s">
        <v>190</v>
      </c>
      <c r="C313" s="61"/>
      <c r="D313" s="57" t="s">
        <v>67</v>
      </c>
      <c r="E313" s="18" t="s">
        <v>68</v>
      </c>
      <c r="F313" s="17">
        <v>2.1</v>
      </c>
      <c r="G313" s="17" t="s">
        <v>642</v>
      </c>
      <c r="H313" s="17" t="s">
        <v>69</v>
      </c>
      <c r="I313" s="17" t="s">
        <v>70</v>
      </c>
      <c r="J313" s="17">
        <v>2</v>
      </c>
      <c r="K313" s="19">
        <v>1</v>
      </c>
      <c r="L313" s="17" t="s">
        <v>612</v>
      </c>
      <c r="M313" s="17" t="s">
        <v>360</v>
      </c>
    </row>
    <row r="314" spans="2:13" ht="93" customHeight="1" x14ac:dyDescent="0.25">
      <c r="B314" s="19" t="s">
        <v>190</v>
      </c>
      <c r="C314" s="61"/>
      <c r="D314" s="57" t="s">
        <v>71</v>
      </c>
      <c r="E314" s="18" t="s">
        <v>72</v>
      </c>
      <c r="F314" s="17">
        <v>2.2000000000000002</v>
      </c>
      <c r="G314" s="17" t="s">
        <v>73</v>
      </c>
      <c r="H314" s="17" t="s">
        <v>74</v>
      </c>
      <c r="I314" s="17" t="s">
        <v>75</v>
      </c>
      <c r="J314" s="17">
        <v>3</v>
      </c>
      <c r="K314" s="19">
        <v>2</v>
      </c>
      <c r="L314" s="17" t="s">
        <v>223</v>
      </c>
      <c r="M314" s="17" t="s">
        <v>360</v>
      </c>
    </row>
    <row r="315" spans="2:13" ht="94.5" customHeight="1" x14ac:dyDescent="0.25">
      <c r="B315" s="19" t="s">
        <v>190</v>
      </c>
      <c r="C315" s="61"/>
      <c r="D315" s="57" t="s">
        <v>71</v>
      </c>
      <c r="E315" s="18" t="s">
        <v>76</v>
      </c>
      <c r="F315" s="17">
        <v>2.2999999999999998</v>
      </c>
      <c r="G315" s="17" t="s">
        <v>77</v>
      </c>
      <c r="H315" s="17" t="s">
        <v>78</v>
      </c>
      <c r="I315" s="17" t="s">
        <v>75</v>
      </c>
      <c r="J315" s="17">
        <v>3</v>
      </c>
      <c r="K315" s="19">
        <v>2</v>
      </c>
      <c r="L315" s="17" t="s">
        <v>223</v>
      </c>
      <c r="M315" s="17" t="s">
        <v>663</v>
      </c>
    </row>
    <row r="316" spans="2:13" ht="94.5" customHeight="1" x14ac:dyDescent="0.25">
      <c r="B316" s="19" t="s">
        <v>190</v>
      </c>
      <c r="C316" s="61"/>
      <c r="D316" s="57" t="s">
        <v>71</v>
      </c>
      <c r="E316" s="18" t="s">
        <v>79</v>
      </c>
      <c r="F316" s="17">
        <v>2.4</v>
      </c>
      <c r="G316" s="17" t="s">
        <v>80</v>
      </c>
      <c r="H316" s="17" t="s">
        <v>81</v>
      </c>
      <c r="I316" s="17" t="s">
        <v>75</v>
      </c>
      <c r="J316" s="17">
        <v>3</v>
      </c>
      <c r="K316" s="19">
        <v>3</v>
      </c>
      <c r="L316" s="17" t="s">
        <v>224</v>
      </c>
      <c r="M316" s="17" t="s">
        <v>663</v>
      </c>
    </row>
    <row r="317" spans="2:13" ht="41.25" customHeight="1" x14ac:dyDescent="0.25">
      <c r="B317" s="19" t="s">
        <v>190</v>
      </c>
      <c r="C317" s="61"/>
      <c r="D317" s="57" t="s">
        <v>67</v>
      </c>
      <c r="E317" s="18" t="s">
        <v>82</v>
      </c>
      <c r="F317" s="17">
        <v>2.5</v>
      </c>
      <c r="G317" s="17" t="s">
        <v>83</v>
      </c>
      <c r="H317" s="17" t="s">
        <v>84</v>
      </c>
      <c r="I317" s="17" t="s">
        <v>85</v>
      </c>
      <c r="J317" s="17">
        <v>1</v>
      </c>
      <c r="K317" s="19">
        <v>0.5</v>
      </c>
      <c r="L317" s="17" t="s">
        <v>613</v>
      </c>
      <c r="M317" s="17" t="s">
        <v>663</v>
      </c>
    </row>
    <row r="318" spans="2:13" ht="38.25" x14ac:dyDescent="0.25">
      <c r="B318" s="19" t="s">
        <v>190</v>
      </c>
      <c r="C318" s="61"/>
      <c r="D318" s="57" t="s">
        <v>67</v>
      </c>
      <c r="E318" s="18" t="s">
        <v>86</v>
      </c>
      <c r="F318" s="17">
        <v>2.6</v>
      </c>
      <c r="G318" s="17" t="s">
        <v>625</v>
      </c>
      <c r="H318" s="17" t="s">
        <v>87</v>
      </c>
      <c r="I318" s="17" t="s">
        <v>88</v>
      </c>
      <c r="J318" s="17">
        <v>2</v>
      </c>
      <c r="K318" s="19">
        <v>1</v>
      </c>
      <c r="L318" s="17"/>
      <c r="M318" s="17"/>
    </row>
    <row r="319" spans="2:13" ht="68.25" customHeight="1" x14ac:dyDescent="0.25">
      <c r="B319" s="19" t="s">
        <v>190</v>
      </c>
      <c r="C319" s="61"/>
      <c r="D319" s="57" t="s">
        <v>67</v>
      </c>
      <c r="E319" s="18" t="s">
        <v>89</v>
      </c>
      <c r="F319" s="17">
        <v>2.6</v>
      </c>
      <c r="G319" s="17" t="s">
        <v>625</v>
      </c>
      <c r="H319" s="17" t="s">
        <v>90</v>
      </c>
      <c r="I319" s="17" t="s">
        <v>91</v>
      </c>
      <c r="J319" s="17">
        <v>1</v>
      </c>
      <c r="K319" s="19"/>
      <c r="L319" s="17"/>
      <c r="M319" s="17"/>
    </row>
    <row r="320" spans="2:13" ht="43.5" customHeight="1" x14ac:dyDescent="0.25">
      <c r="B320" s="19" t="s">
        <v>190</v>
      </c>
      <c r="C320" s="61"/>
      <c r="D320" s="57" t="s">
        <v>92</v>
      </c>
      <c r="E320" s="18" t="s">
        <v>93</v>
      </c>
      <c r="F320" s="17">
        <v>2.7</v>
      </c>
      <c r="G320" s="17" t="s">
        <v>626</v>
      </c>
      <c r="H320" s="17" t="s">
        <v>94</v>
      </c>
      <c r="I320" s="17" t="s">
        <v>85</v>
      </c>
      <c r="J320" s="17">
        <v>1</v>
      </c>
      <c r="K320" s="19">
        <v>0</v>
      </c>
      <c r="L320" s="26"/>
      <c r="M320" s="17"/>
    </row>
    <row r="321" spans="2:13" ht="102" x14ac:dyDescent="0.25">
      <c r="B321" s="19" t="s">
        <v>190</v>
      </c>
      <c r="C321" s="61"/>
      <c r="D321" s="57" t="s">
        <v>92</v>
      </c>
      <c r="E321" s="18" t="s">
        <v>95</v>
      </c>
      <c r="F321" s="17">
        <v>2.8</v>
      </c>
      <c r="G321" s="17" t="s">
        <v>96</v>
      </c>
      <c r="H321" s="17" t="s">
        <v>97</v>
      </c>
      <c r="I321" s="17" t="s">
        <v>98</v>
      </c>
      <c r="J321" s="17">
        <v>3</v>
      </c>
      <c r="K321" s="19">
        <v>3</v>
      </c>
      <c r="L321" s="17" t="s">
        <v>440</v>
      </c>
      <c r="M321" s="17"/>
    </row>
    <row r="322" spans="2:13" ht="55.5" customHeight="1" x14ac:dyDescent="0.25">
      <c r="B322" s="19" t="s">
        <v>190</v>
      </c>
      <c r="C322" s="61"/>
      <c r="D322" s="57" t="s">
        <v>92</v>
      </c>
      <c r="E322" s="18" t="s">
        <v>99</v>
      </c>
      <c r="F322" s="17">
        <v>2.9</v>
      </c>
      <c r="G322" s="17" t="s">
        <v>100</v>
      </c>
      <c r="H322" s="17" t="s">
        <v>101</v>
      </c>
      <c r="I322" s="17" t="s">
        <v>85</v>
      </c>
      <c r="J322" s="17">
        <v>1</v>
      </c>
      <c r="K322" s="19">
        <v>1</v>
      </c>
      <c r="L322" s="17"/>
      <c r="M322" s="41" t="s">
        <v>441</v>
      </c>
    </row>
    <row r="323" spans="2:13" ht="51" x14ac:dyDescent="0.25">
      <c r="B323" s="19" t="s">
        <v>190</v>
      </c>
      <c r="C323" s="61"/>
      <c r="D323" s="57" t="s">
        <v>92</v>
      </c>
      <c r="E323" s="18" t="s">
        <v>102</v>
      </c>
      <c r="F323" s="17">
        <v>2.9</v>
      </c>
      <c r="G323" s="17" t="s">
        <v>100</v>
      </c>
      <c r="H323" s="17" t="s">
        <v>103</v>
      </c>
      <c r="I323" s="17" t="s">
        <v>85</v>
      </c>
      <c r="J323" s="17">
        <v>1</v>
      </c>
      <c r="K323" s="19">
        <v>0</v>
      </c>
      <c r="L323" s="17" t="s">
        <v>442</v>
      </c>
      <c r="M323" s="41" t="s">
        <v>441</v>
      </c>
    </row>
    <row r="324" spans="2:13" ht="81" customHeight="1" x14ac:dyDescent="0.25">
      <c r="B324" s="19" t="s">
        <v>190</v>
      </c>
      <c r="C324" s="61"/>
      <c r="D324" s="57" t="s">
        <v>92</v>
      </c>
      <c r="E324" s="18" t="s">
        <v>104</v>
      </c>
      <c r="F324" s="17">
        <v>2.9</v>
      </c>
      <c r="G324" s="17" t="s">
        <v>100</v>
      </c>
      <c r="H324" s="17" t="s">
        <v>105</v>
      </c>
      <c r="I324" s="17" t="s">
        <v>85</v>
      </c>
      <c r="J324" s="17">
        <v>1</v>
      </c>
      <c r="K324" s="19">
        <v>0.5</v>
      </c>
      <c r="L324" s="17" t="s">
        <v>443</v>
      </c>
      <c r="M324" s="41" t="s">
        <v>444</v>
      </c>
    </row>
    <row r="325" spans="2:13" ht="43.5" customHeight="1" x14ac:dyDescent="0.25">
      <c r="B325" s="19" t="s">
        <v>190</v>
      </c>
      <c r="C325" s="62"/>
      <c r="D325" s="57" t="s">
        <v>106</v>
      </c>
      <c r="E325" s="18" t="s">
        <v>107</v>
      </c>
      <c r="F325" s="17">
        <v>3.1</v>
      </c>
      <c r="G325" s="17" t="s">
        <v>108</v>
      </c>
      <c r="H325" s="17" t="s">
        <v>109</v>
      </c>
      <c r="I325" s="17" t="s">
        <v>110</v>
      </c>
      <c r="J325" s="17">
        <v>1</v>
      </c>
      <c r="K325" s="19">
        <v>1</v>
      </c>
      <c r="L325" s="17" t="s">
        <v>496</v>
      </c>
      <c r="M325" s="17" t="s">
        <v>501</v>
      </c>
    </row>
    <row r="326" spans="2:13" ht="51" x14ac:dyDescent="0.25">
      <c r="B326" s="19" t="s">
        <v>190</v>
      </c>
      <c r="C326" s="62"/>
      <c r="D326" s="57" t="s">
        <v>111</v>
      </c>
      <c r="E326" s="18" t="s">
        <v>112</v>
      </c>
      <c r="F326" s="17">
        <v>3.2</v>
      </c>
      <c r="G326" s="17" t="s">
        <v>113</v>
      </c>
      <c r="H326" s="17" t="s">
        <v>114</v>
      </c>
      <c r="I326" s="17" t="s">
        <v>115</v>
      </c>
      <c r="J326" s="17">
        <v>1</v>
      </c>
      <c r="K326" s="19">
        <v>0</v>
      </c>
      <c r="L326" s="17"/>
      <c r="M326" s="17" t="s">
        <v>501</v>
      </c>
    </row>
    <row r="327" spans="2:13" ht="55.5" customHeight="1" x14ac:dyDescent="0.25">
      <c r="B327" s="19" t="s">
        <v>190</v>
      </c>
      <c r="C327" s="62"/>
      <c r="D327" s="57" t="s">
        <v>111</v>
      </c>
      <c r="E327" s="18" t="s">
        <v>116</v>
      </c>
      <c r="F327" s="17">
        <v>3.2</v>
      </c>
      <c r="G327" s="17" t="s">
        <v>113</v>
      </c>
      <c r="H327" s="17" t="s">
        <v>117</v>
      </c>
      <c r="I327" s="17" t="s">
        <v>115</v>
      </c>
      <c r="J327" s="17">
        <v>1</v>
      </c>
      <c r="K327" s="19">
        <v>0</v>
      </c>
      <c r="L327" s="17"/>
      <c r="M327" s="17" t="s">
        <v>501</v>
      </c>
    </row>
    <row r="328" spans="2:13" ht="51" x14ac:dyDescent="0.25">
      <c r="B328" s="19" t="s">
        <v>190</v>
      </c>
      <c r="C328" s="62"/>
      <c r="D328" s="57" t="s">
        <v>111</v>
      </c>
      <c r="E328" s="18" t="s">
        <v>118</v>
      </c>
      <c r="F328" s="17">
        <v>3.2</v>
      </c>
      <c r="G328" s="17" t="s">
        <v>113</v>
      </c>
      <c r="H328" s="17" t="s">
        <v>119</v>
      </c>
      <c r="I328" s="17" t="s">
        <v>115</v>
      </c>
      <c r="J328" s="17">
        <v>1</v>
      </c>
      <c r="K328" s="19">
        <v>0</v>
      </c>
      <c r="L328" s="17"/>
      <c r="M328" s="17" t="s">
        <v>501</v>
      </c>
    </row>
    <row r="329" spans="2:13" ht="93.75" customHeight="1" x14ac:dyDescent="0.25">
      <c r="B329" s="19" t="s">
        <v>190</v>
      </c>
      <c r="C329" s="62"/>
      <c r="D329" s="57" t="s">
        <v>111</v>
      </c>
      <c r="E329" s="18" t="s">
        <v>120</v>
      </c>
      <c r="F329" s="17">
        <v>3.3</v>
      </c>
      <c r="G329" s="17" t="s">
        <v>627</v>
      </c>
      <c r="H329" s="17" t="s">
        <v>121</v>
      </c>
      <c r="I329" s="17" t="s">
        <v>122</v>
      </c>
      <c r="J329" s="17">
        <v>1</v>
      </c>
      <c r="K329" s="19">
        <v>1</v>
      </c>
      <c r="L329" s="17" t="s">
        <v>497</v>
      </c>
      <c r="M329" s="17" t="s">
        <v>502</v>
      </c>
    </row>
    <row r="330" spans="2:13" ht="54.75" customHeight="1" x14ac:dyDescent="0.25">
      <c r="B330" s="19" t="s">
        <v>190</v>
      </c>
      <c r="C330" s="62"/>
      <c r="D330" s="57" t="s">
        <v>111</v>
      </c>
      <c r="E330" s="18" t="s">
        <v>123</v>
      </c>
      <c r="F330" s="17">
        <v>3.4</v>
      </c>
      <c r="G330" s="17" t="s">
        <v>628</v>
      </c>
      <c r="H330" s="17" t="s">
        <v>124</v>
      </c>
      <c r="I330" s="17" t="s">
        <v>115</v>
      </c>
      <c r="J330" s="17">
        <v>1</v>
      </c>
      <c r="K330" s="19">
        <v>0</v>
      </c>
      <c r="L330" s="17"/>
      <c r="M330" s="17" t="s">
        <v>501</v>
      </c>
    </row>
    <row r="331" spans="2:13" ht="96.75" customHeight="1" x14ac:dyDescent="0.25">
      <c r="B331" s="19" t="s">
        <v>190</v>
      </c>
      <c r="C331" s="62"/>
      <c r="D331" s="57" t="s">
        <v>125</v>
      </c>
      <c r="E331" s="18" t="s">
        <v>126</v>
      </c>
      <c r="F331" s="17">
        <v>3.5</v>
      </c>
      <c r="G331" s="17" t="s">
        <v>127</v>
      </c>
      <c r="H331" s="17" t="s">
        <v>128</v>
      </c>
      <c r="I331" s="17" t="s">
        <v>129</v>
      </c>
      <c r="J331" s="17">
        <v>1</v>
      </c>
      <c r="K331" s="19">
        <v>1</v>
      </c>
      <c r="L331" s="17" t="s">
        <v>498</v>
      </c>
      <c r="M331" s="21" t="s">
        <v>499</v>
      </c>
    </row>
    <row r="332" spans="2:13" ht="52.5" customHeight="1" x14ac:dyDescent="0.25">
      <c r="B332" s="19" t="s">
        <v>190</v>
      </c>
      <c r="C332" s="62"/>
      <c r="D332" s="57" t="s">
        <v>130</v>
      </c>
      <c r="E332" s="18" t="s">
        <v>131</v>
      </c>
      <c r="F332" s="17">
        <v>3.6</v>
      </c>
      <c r="G332" s="17" t="s">
        <v>255</v>
      </c>
      <c r="H332" s="17" t="s">
        <v>132</v>
      </c>
      <c r="I332" s="17" t="s">
        <v>115</v>
      </c>
      <c r="J332" s="17">
        <v>1</v>
      </c>
      <c r="K332" s="19">
        <v>1</v>
      </c>
      <c r="L332" s="17" t="s">
        <v>500</v>
      </c>
      <c r="M332" s="41" t="s">
        <v>426</v>
      </c>
    </row>
    <row r="333" spans="2:13" ht="52.5" customHeight="1" x14ac:dyDescent="0.25">
      <c r="B333" s="19" t="s">
        <v>190</v>
      </c>
      <c r="C333" s="62"/>
      <c r="D333" s="57" t="s">
        <v>130</v>
      </c>
      <c r="E333" s="18" t="s">
        <v>133</v>
      </c>
      <c r="F333" s="17">
        <v>3.7</v>
      </c>
      <c r="G333" s="17" t="s">
        <v>260</v>
      </c>
      <c r="H333" s="17" t="s">
        <v>134</v>
      </c>
      <c r="I333" s="17" t="s">
        <v>135</v>
      </c>
      <c r="J333" s="17">
        <v>1</v>
      </c>
      <c r="K333" s="19">
        <v>1</v>
      </c>
      <c r="L333" s="17" t="s">
        <v>490</v>
      </c>
      <c r="M333" s="17" t="s">
        <v>503</v>
      </c>
    </row>
    <row r="334" spans="2:13" ht="53.25" customHeight="1" x14ac:dyDescent="0.25">
      <c r="B334" s="19" t="s">
        <v>190</v>
      </c>
      <c r="C334" s="63"/>
      <c r="D334" s="57" t="s">
        <v>136</v>
      </c>
      <c r="E334" s="18" t="s">
        <v>137</v>
      </c>
      <c r="F334" s="17">
        <v>4.0999999999999996</v>
      </c>
      <c r="G334" s="17" t="s">
        <v>629</v>
      </c>
      <c r="H334" s="17" t="s">
        <v>138</v>
      </c>
      <c r="I334" s="17" t="s">
        <v>85</v>
      </c>
      <c r="J334" s="17">
        <v>1</v>
      </c>
      <c r="K334" s="19">
        <v>1</v>
      </c>
      <c r="L334" s="17"/>
      <c r="M334" s="17" t="s">
        <v>552</v>
      </c>
    </row>
    <row r="335" spans="2:13" ht="51" x14ac:dyDescent="0.25">
      <c r="B335" s="19" t="s">
        <v>190</v>
      </c>
      <c r="C335" s="63"/>
      <c r="D335" s="57" t="s">
        <v>139</v>
      </c>
      <c r="E335" s="18" t="s">
        <v>140</v>
      </c>
      <c r="F335" s="17">
        <v>4.2</v>
      </c>
      <c r="G335" s="17" t="s">
        <v>630</v>
      </c>
      <c r="H335" s="17" t="s">
        <v>141</v>
      </c>
      <c r="I335" s="17" t="s">
        <v>142</v>
      </c>
      <c r="J335" s="17">
        <v>2</v>
      </c>
      <c r="K335" s="19">
        <v>0</v>
      </c>
      <c r="L335" s="17"/>
      <c r="M335" s="17"/>
    </row>
    <row r="336" spans="2:13" ht="51.75" customHeight="1" x14ac:dyDescent="0.25">
      <c r="B336" s="19" t="s">
        <v>190</v>
      </c>
      <c r="C336" s="63"/>
      <c r="D336" s="57" t="s">
        <v>139</v>
      </c>
      <c r="E336" s="18" t="s">
        <v>143</v>
      </c>
      <c r="F336" s="17">
        <v>4.3</v>
      </c>
      <c r="G336" s="17" t="s">
        <v>631</v>
      </c>
      <c r="H336" s="17" t="s">
        <v>144</v>
      </c>
      <c r="I336" s="17" t="s">
        <v>142</v>
      </c>
      <c r="J336" s="17">
        <v>2</v>
      </c>
      <c r="K336" s="19">
        <v>0</v>
      </c>
      <c r="L336" s="17"/>
      <c r="M336" s="17"/>
    </row>
    <row r="337" spans="2:13" ht="135" customHeight="1" x14ac:dyDescent="0.25">
      <c r="B337" s="19" t="s">
        <v>190</v>
      </c>
      <c r="C337" s="63"/>
      <c r="D337" s="57" t="s">
        <v>139</v>
      </c>
      <c r="E337" s="18" t="s">
        <v>145</v>
      </c>
      <c r="F337" s="17">
        <v>4.4000000000000004</v>
      </c>
      <c r="G337" s="17" t="s">
        <v>632</v>
      </c>
      <c r="H337" s="17" t="s">
        <v>146</v>
      </c>
      <c r="I337" s="17" t="s">
        <v>147</v>
      </c>
      <c r="J337" s="17">
        <v>7</v>
      </c>
      <c r="K337" s="19">
        <v>0</v>
      </c>
      <c r="L337" s="17"/>
      <c r="M337" s="17"/>
    </row>
    <row r="338" spans="2:13" ht="50.25" customHeight="1" x14ac:dyDescent="0.25">
      <c r="B338" s="19" t="s">
        <v>190</v>
      </c>
      <c r="C338" s="63"/>
      <c r="D338" s="57" t="s">
        <v>148</v>
      </c>
      <c r="E338" s="18" t="s">
        <v>149</v>
      </c>
      <c r="F338" s="17">
        <v>4.5</v>
      </c>
      <c r="G338" s="17" t="s">
        <v>633</v>
      </c>
      <c r="H338" s="17" t="s">
        <v>150</v>
      </c>
      <c r="I338" s="17" t="s">
        <v>115</v>
      </c>
      <c r="J338" s="17">
        <v>1</v>
      </c>
      <c r="K338" s="19">
        <v>1</v>
      </c>
      <c r="L338" s="17" t="s">
        <v>553</v>
      </c>
      <c r="M338" s="17" t="s">
        <v>426</v>
      </c>
    </row>
    <row r="339" spans="2:13" ht="54" customHeight="1" x14ac:dyDescent="0.25">
      <c r="B339" s="19" t="s">
        <v>190</v>
      </c>
      <c r="C339" s="63"/>
      <c r="D339" s="57" t="s">
        <v>148</v>
      </c>
      <c r="E339" s="18" t="s">
        <v>151</v>
      </c>
      <c r="F339" s="17">
        <v>4.5999999999999996</v>
      </c>
      <c r="G339" s="17" t="s">
        <v>634</v>
      </c>
      <c r="H339" s="17" t="s">
        <v>152</v>
      </c>
      <c r="I339" s="17" t="s">
        <v>85</v>
      </c>
      <c r="J339" s="17">
        <v>1</v>
      </c>
      <c r="K339" s="19">
        <v>0</v>
      </c>
      <c r="L339" s="17"/>
      <c r="M339" s="17"/>
    </row>
    <row r="340" spans="2:13" ht="50.25" customHeight="1" x14ac:dyDescent="0.25">
      <c r="B340" s="19" t="s">
        <v>190</v>
      </c>
      <c r="C340" s="63"/>
      <c r="D340" s="57" t="s">
        <v>148</v>
      </c>
      <c r="E340" s="18" t="s">
        <v>153</v>
      </c>
      <c r="F340" s="17">
        <v>4.7</v>
      </c>
      <c r="G340" s="17" t="s">
        <v>635</v>
      </c>
      <c r="H340" s="17" t="s">
        <v>154</v>
      </c>
      <c r="I340" s="17" t="s">
        <v>85</v>
      </c>
      <c r="J340" s="17">
        <v>1</v>
      </c>
      <c r="K340" s="19">
        <v>0</v>
      </c>
      <c r="L340" s="17"/>
      <c r="M340" s="17"/>
    </row>
    <row r="341" spans="2:13" ht="52.5" customHeight="1" x14ac:dyDescent="0.25">
      <c r="B341" s="19" t="s">
        <v>190</v>
      </c>
      <c r="C341" s="63"/>
      <c r="D341" s="57" t="s">
        <v>148</v>
      </c>
      <c r="E341" s="18" t="s">
        <v>155</v>
      </c>
      <c r="F341" s="17">
        <v>4.8</v>
      </c>
      <c r="G341" s="17" t="s">
        <v>156</v>
      </c>
      <c r="H341" s="17" t="s">
        <v>157</v>
      </c>
      <c r="I341" s="17" t="s">
        <v>85</v>
      </c>
      <c r="J341" s="17">
        <v>1</v>
      </c>
      <c r="K341" s="19">
        <v>0</v>
      </c>
      <c r="L341" s="17"/>
      <c r="M341" s="17"/>
    </row>
    <row r="342" spans="2:13" ht="25.5" x14ac:dyDescent="0.25">
      <c r="B342" s="19" t="s">
        <v>190</v>
      </c>
      <c r="C342" s="63"/>
      <c r="D342" s="57" t="s">
        <v>136</v>
      </c>
      <c r="E342" s="18" t="s">
        <v>158</v>
      </c>
      <c r="F342" s="17">
        <v>4.9000000000000004</v>
      </c>
      <c r="G342" s="17" t="s">
        <v>636</v>
      </c>
      <c r="H342" s="17" t="s">
        <v>159</v>
      </c>
      <c r="I342" s="17" t="s">
        <v>85</v>
      </c>
      <c r="J342" s="17">
        <v>1</v>
      </c>
      <c r="K342" s="19">
        <v>0</v>
      </c>
      <c r="L342" s="17"/>
      <c r="M342" s="17"/>
    </row>
    <row r="343" spans="2:13" ht="25.5" x14ac:dyDescent="0.25">
      <c r="B343" s="19" t="s">
        <v>190</v>
      </c>
      <c r="C343" s="63"/>
      <c r="D343" s="57" t="s">
        <v>136</v>
      </c>
      <c r="E343" s="18" t="s">
        <v>160</v>
      </c>
      <c r="F343" s="27">
        <v>4.0999999999999996</v>
      </c>
      <c r="G343" s="17" t="s">
        <v>637</v>
      </c>
      <c r="H343" s="17" t="s">
        <v>161</v>
      </c>
      <c r="I343" s="17" t="s">
        <v>85</v>
      </c>
      <c r="J343" s="17">
        <v>1</v>
      </c>
      <c r="K343" s="19">
        <v>0</v>
      </c>
      <c r="L343" s="17"/>
      <c r="M343" s="17"/>
    </row>
    <row r="344" spans="2:13" ht="70.5" customHeight="1" x14ac:dyDescent="0.25">
      <c r="B344" s="19" t="s">
        <v>190</v>
      </c>
      <c r="C344" s="63"/>
      <c r="D344" s="57" t="s">
        <v>136</v>
      </c>
      <c r="E344" s="18" t="s">
        <v>162</v>
      </c>
      <c r="F344" s="17">
        <v>4.1100000000000003</v>
      </c>
      <c r="G344" s="17" t="s">
        <v>638</v>
      </c>
      <c r="H344" s="17" t="s">
        <v>163</v>
      </c>
      <c r="I344" s="17" t="s">
        <v>85</v>
      </c>
      <c r="J344" s="17">
        <v>1</v>
      </c>
      <c r="K344" s="19">
        <v>0</v>
      </c>
      <c r="L344" s="17"/>
      <c r="M344" s="17"/>
    </row>
    <row r="345" spans="2:13" ht="66" customHeight="1" x14ac:dyDescent="0.25">
      <c r="B345" s="19" t="s">
        <v>190</v>
      </c>
      <c r="C345" s="63"/>
      <c r="D345" s="57" t="s">
        <v>136</v>
      </c>
      <c r="E345" s="18" t="s">
        <v>164</v>
      </c>
      <c r="F345" s="17">
        <v>4.12</v>
      </c>
      <c r="G345" s="17" t="s">
        <v>639</v>
      </c>
      <c r="H345" s="17" t="s">
        <v>165</v>
      </c>
      <c r="I345" s="17" t="s">
        <v>85</v>
      </c>
      <c r="J345" s="17">
        <v>1</v>
      </c>
      <c r="K345" s="19">
        <v>1</v>
      </c>
      <c r="L345" s="17" t="s">
        <v>554</v>
      </c>
      <c r="M345" s="17" t="s">
        <v>426</v>
      </c>
    </row>
    <row r="346" spans="2:13" ht="39" thickBot="1" x14ac:dyDescent="0.3">
      <c r="B346" s="69" t="s">
        <v>190</v>
      </c>
      <c r="C346" s="70"/>
      <c r="D346" s="71" t="s">
        <v>136</v>
      </c>
      <c r="E346" s="72" t="s">
        <v>166</v>
      </c>
      <c r="F346" s="73">
        <v>4.13</v>
      </c>
      <c r="G346" s="73" t="s">
        <v>640</v>
      </c>
      <c r="H346" s="73" t="s">
        <v>167</v>
      </c>
      <c r="I346" s="73" t="s">
        <v>85</v>
      </c>
      <c r="J346" s="73">
        <v>1</v>
      </c>
      <c r="K346" s="69">
        <v>1</v>
      </c>
      <c r="L346" s="73" t="s">
        <v>555</v>
      </c>
      <c r="M346" s="73" t="s">
        <v>556</v>
      </c>
    </row>
    <row r="347" spans="2:13" ht="111" customHeight="1" thickTop="1" x14ac:dyDescent="0.25">
      <c r="B347" s="52" t="s">
        <v>644</v>
      </c>
      <c r="C347" s="65"/>
      <c r="D347" s="59" t="s">
        <v>6</v>
      </c>
      <c r="E347" s="51" t="s">
        <v>7</v>
      </c>
      <c r="F347" s="50">
        <v>1.1000000000000001</v>
      </c>
      <c r="G347" s="50" t="s">
        <v>618</v>
      </c>
      <c r="H347" s="50" t="s">
        <v>8</v>
      </c>
      <c r="I347" s="50" t="s">
        <v>9</v>
      </c>
      <c r="J347" s="50">
        <v>2</v>
      </c>
      <c r="K347" s="52">
        <v>2</v>
      </c>
      <c r="L347" s="50" t="s">
        <v>685</v>
      </c>
      <c r="M347" s="80" t="s">
        <v>369</v>
      </c>
    </row>
    <row r="348" spans="2:13" ht="111" customHeight="1" x14ac:dyDescent="0.25">
      <c r="B348" s="19" t="s">
        <v>644</v>
      </c>
      <c r="C348" s="60"/>
      <c r="D348" s="57" t="s">
        <v>6</v>
      </c>
      <c r="E348" s="18" t="s">
        <v>10</v>
      </c>
      <c r="F348" s="17">
        <v>1.1000000000000001</v>
      </c>
      <c r="G348" s="17" t="s">
        <v>618</v>
      </c>
      <c r="H348" s="17" t="s">
        <v>11</v>
      </c>
      <c r="I348" s="17" t="s">
        <v>9</v>
      </c>
      <c r="J348" s="17">
        <v>2</v>
      </c>
      <c r="K348" s="19">
        <v>2</v>
      </c>
      <c r="L348" s="17" t="s">
        <v>685</v>
      </c>
      <c r="M348" s="42" t="s">
        <v>366</v>
      </c>
    </row>
    <row r="349" spans="2:13" ht="111" customHeight="1" x14ac:dyDescent="0.25">
      <c r="B349" s="19" t="s">
        <v>644</v>
      </c>
      <c r="C349" s="60"/>
      <c r="D349" s="57" t="s">
        <v>6</v>
      </c>
      <c r="E349" s="18" t="s">
        <v>12</v>
      </c>
      <c r="F349" s="17">
        <v>1.1000000000000001</v>
      </c>
      <c r="G349" s="17" t="s">
        <v>618</v>
      </c>
      <c r="H349" s="17" t="s">
        <v>13</v>
      </c>
      <c r="I349" s="17" t="s">
        <v>9</v>
      </c>
      <c r="J349" s="17">
        <v>2</v>
      </c>
      <c r="K349" s="19">
        <v>1</v>
      </c>
      <c r="L349" s="17" t="s">
        <v>685</v>
      </c>
      <c r="M349" s="42" t="s">
        <v>366</v>
      </c>
    </row>
    <row r="350" spans="2:13" ht="89.25" x14ac:dyDescent="0.25">
      <c r="B350" s="19" t="s">
        <v>644</v>
      </c>
      <c r="C350" s="60"/>
      <c r="D350" s="57" t="s">
        <v>6</v>
      </c>
      <c r="E350" s="18" t="s">
        <v>14</v>
      </c>
      <c r="F350" s="17">
        <v>1.2</v>
      </c>
      <c r="G350" s="17" t="s">
        <v>619</v>
      </c>
      <c r="H350" s="17" t="s">
        <v>15</v>
      </c>
      <c r="I350" s="17" t="s">
        <v>16</v>
      </c>
      <c r="J350" s="17">
        <v>3</v>
      </c>
      <c r="K350" s="19">
        <v>3</v>
      </c>
      <c r="L350" s="17"/>
      <c r="M350" s="41" t="s">
        <v>366</v>
      </c>
    </row>
    <row r="351" spans="2:13" ht="89.25" x14ac:dyDescent="0.25">
      <c r="B351" s="19" t="s">
        <v>644</v>
      </c>
      <c r="C351" s="60"/>
      <c r="D351" s="57" t="s">
        <v>6</v>
      </c>
      <c r="E351" s="18" t="s">
        <v>17</v>
      </c>
      <c r="F351" s="17">
        <v>1.2</v>
      </c>
      <c r="G351" s="17" t="s">
        <v>619</v>
      </c>
      <c r="H351" s="17" t="s">
        <v>18</v>
      </c>
      <c r="I351" s="17" t="s">
        <v>16</v>
      </c>
      <c r="J351" s="17">
        <v>3</v>
      </c>
      <c r="K351" s="19">
        <v>3</v>
      </c>
      <c r="L351" s="17"/>
      <c r="M351" s="41" t="s">
        <v>367</v>
      </c>
    </row>
    <row r="352" spans="2:13" ht="89.25" x14ac:dyDescent="0.25">
      <c r="B352" s="19" t="s">
        <v>644</v>
      </c>
      <c r="C352" s="60"/>
      <c r="D352" s="57" t="s">
        <v>6</v>
      </c>
      <c r="E352" s="18" t="s">
        <v>19</v>
      </c>
      <c r="F352" s="17">
        <v>1.2</v>
      </c>
      <c r="G352" s="17" t="s">
        <v>619</v>
      </c>
      <c r="H352" s="17" t="s">
        <v>20</v>
      </c>
      <c r="I352" s="17" t="s">
        <v>16</v>
      </c>
      <c r="J352" s="17">
        <v>3</v>
      </c>
      <c r="K352" s="19">
        <v>3</v>
      </c>
      <c r="L352" s="17"/>
      <c r="M352" s="41" t="s">
        <v>367</v>
      </c>
    </row>
    <row r="353" spans="2:13" ht="171.75" customHeight="1" x14ac:dyDescent="0.25">
      <c r="B353" s="19" t="s">
        <v>644</v>
      </c>
      <c r="C353" s="60"/>
      <c r="D353" s="57" t="s">
        <v>6</v>
      </c>
      <c r="E353" s="18" t="s">
        <v>21</v>
      </c>
      <c r="F353" s="17">
        <v>1.3</v>
      </c>
      <c r="G353" s="17" t="s">
        <v>620</v>
      </c>
      <c r="H353" s="17" t="s">
        <v>22</v>
      </c>
      <c r="I353" s="17" t="s">
        <v>23</v>
      </c>
      <c r="J353" s="17">
        <v>2</v>
      </c>
      <c r="K353" s="40">
        <v>2</v>
      </c>
      <c r="L353" s="17" t="s">
        <v>380</v>
      </c>
      <c r="M353" s="41" t="s">
        <v>367</v>
      </c>
    </row>
    <row r="354" spans="2:13" ht="108" customHeight="1" x14ac:dyDescent="0.25">
      <c r="B354" s="19" t="s">
        <v>644</v>
      </c>
      <c r="C354" s="60"/>
      <c r="D354" s="57" t="s">
        <v>6</v>
      </c>
      <c r="E354" s="18" t="s">
        <v>24</v>
      </c>
      <c r="F354" s="17">
        <v>1.4</v>
      </c>
      <c r="G354" s="17" t="s">
        <v>641</v>
      </c>
      <c r="H354" s="17" t="s">
        <v>25</v>
      </c>
      <c r="I354" s="17" t="s">
        <v>26</v>
      </c>
      <c r="J354" s="17">
        <v>2</v>
      </c>
      <c r="K354" s="19">
        <v>1.5</v>
      </c>
      <c r="L354" s="17" t="s">
        <v>381</v>
      </c>
      <c r="M354" s="41"/>
    </row>
    <row r="355" spans="2:13" ht="159" customHeight="1" x14ac:dyDescent="0.25">
      <c r="B355" s="19" t="s">
        <v>644</v>
      </c>
      <c r="C355" s="60"/>
      <c r="D355" s="57" t="s">
        <v>6</v>
      </c>
      <c r="E355" s="18" t="s">
        <v>27</v>
      </c>
      <c r="F355" s="17">
        <v>1.5</v>
      </c>
      <c r="G355" s="17" t="s">
        <v>641</v>
      </c>
      <c r="H355" s="17" t="s">
        <v>28</v>
      </c>
      <c r="I355" s="17" t="s">
        <v>29</v>
      </c>
      <c r="J355" s="17">
        <v>3</v>
      </c>
      <c r="K355" s="19">
        <v>2</v>
      </c>
      <c r="L355" s="17" t="s">
        <v>382</v>
      </c>
      <c r="M355" s="42" t="s">
        <v>664</v>
      </c>
    </row>
    <row r="356" spans="2:13" ht="159" customHeight="1" x14ac:dyDescent="0.25">
      <c r="B356" s="19" t="s">
        <v>644</v>
      </c>
      <c r="C356" s="60"/>
      <c r="D356" s="57" t="s">
        <v>6</v>
      </c>
      <c r="E356" s="18" t="s">
        <v>30</v>
      </c>
      <c r="F356" s="17">
        <v>1.5</v>
      </c>
      <c r="G356" s="17" t="s">
        <v>641</v>
      </c>
      <c r="H356" s="17" t="s">
        <v>31</v>
      </c>
      <c r="I356" s="17" t="s">
        <v>29</v>
      </c>
      <c r="J356" s="17">
        <v>3</v>
      </c>
      <c r="K356" s="19">
        <v>2</v>
      </c>
      <c r="L356" s="17" t="s">
        <v>382</v>
      </c>
      <c r="M356" s="42" t="s">
        <v>368</v>
      </c>
    </row>
    <row r="357" spans="2:13" ht="156.75" customHeight="1" x14ac:dyDescent="0.25">
      <c r="B357" s="19" t="s">
        <v>644</v>
      </c>
      <c r="C357" s="60"/>
      <c r="D357" s="57" t="s">
        <v>6</v>
      </c>
      <c r="E357" s="18" t="s">
        <v>32</v>
      </c>
      <c r="F357" s="17">
        <v>1.5</v>
      </c>
      <c r="G357" s="17" t="s">
        <v>621</v>
      </c>
      <c r="H357" s="17" t="s">
        <v>33</v>
      </c>
      <c r="I357" s="17" t="s">
        <v>29</v>
      </c>
      <c r="J357" s="17">
        <v>3</v>
      </c>
      <c r="K357" s="19">
        <v>2</v>
      </c>
      <c r="L357" s="17" t="s">
        <v>382</v>
      </c>
      <c r="M357" s="42" t="s">
        <v>369</v>
      </c>
    </row>
    <row r="358" spans="2:13" ht="89.25" customHeight="1" x14ac:dyDescent="0.25">
      <c r="B358" s="19" t="s">
        <v>644</v>
      </c>
      <c r="C358" s="60"/>
      <c r="D358" s="57" t="s">
        <v>6</v>
      </c>
      <c r="E358" s="18" t="s">
        <v>34</v>
      </c>
      <c r="F358" s="17">
        <v>1.6</v>
      </c>
      <c r="G358" s="17" t="s">
        <v>622</v>
      </c>
      <c r="H358" s="17" t="s">
        <v>35</v>
      </c>
      <c r="I358" s="17" t="s">
        <v>36</v>
      </c>
      <c r="J358" s="17">
        <v>3</v>
      </c>
      <c r="K358" s="19">
        <v>2</v>
      </c>
      <c r="L358" s="17" t="s">
        <v>370</v>
      </c>
      <c r="M358" s="42" t="s">
        <v>369</v>
      </c>
    </row>
    <row r="359" spans="2:13" ht="89.25" customHeight="1" x14ac:dyDescent="0.25">
      <c r="B359" s="19" t="s">
        <v>644</v>
      </c>
      <c r="C359" s="60"/>
      <c r="D359" s="57" t="s">
        <v>6</v>
      </c>
      <c r="E359" s="18" t="s">
        <v>37</v>
      </c>
      <c r="F359" s="17">
        <v>1.6</v>
      </c>
      <c r="G359" s="17" t="s">
        <v>622</v>
      </c>
      <c r="H359" s="17" t="s">
        <v>38</v>
      </c>
      <c r="I359" s="17" t="s">
        <v>36</v>
      </c>
      <c r="J359" s="17">
        <v>3</v>
      </c>
      <c r="K359" s="19">
        <v>2</v>
      </c>
      <c r="L359" s="17" t="s">
        <v>370</v>
      </c>
      <c r="M359" s="42" t="s">
        <v>369</v>
      </c>
    </row>
    <row r="360" spans="2:13" ht="89.25" customHeight="1" x14ac:dyDescent="0.25">
      <c r="B360" s="19" t="s">
        <v>644</v>
      </c>
      <c r="C360" s="60"/>
      <c r="D360" s="57" t="s">
        <v>6</v>
      </c>
      <c r="E360" s="18" t="s">
        <v>39</v>
      </c>
      <c r="F360" s="17">
        <v>1.6</v>
      </c>
      <c r="G360" s="17" t="s">
        <v>622</v>
      </c>
      <c r="H360" s="17" t="s">
        <v>40</v>
      </c>
      <c r="I360" s="17" t="s">
        <v>36</v>
      </c>
      <c r="J360" s="17">
        <v>3</v>
      </c>
      <c r="K360" s="19">
        <v>2</v>
      </c>
      <c r="L360" s="17" t="s">
        <v>370</v>
      </c>
      <c r="M360" s="42" t="s">
        <v>371</v>
      </c>
    </row>
    <row r="361" spans="2:13" ht="62.25" customHeight="1" x14ac:dyDescent="0.25">
      <c r="B361" s="19" t="s">
        <v>644</v>
      </c>
      <c r="C361" s="60"/>
      <c r="D361" s="57" t="s">
        <v>6</v>
      </c>
      <c r="E361" s="18" t="s">
        <v>41</v>
      </c>
      <c r="F361" s="17">
        <v>1.7</v>
      </c>
      <c r="G361" s="17" t="s">
        <v>623</v>
      </c>
      <c r="H361" s="17" t="s">
        <v>42</v>
      </c>
      <c r="I361" s="17" t="s">
        <v>43</v>
      </c>
      <c r="J361" s="17">
        <v>3</v>
      </c>
      <c r="K361" s="19">
        <v>3</v>
      </c>
      <c r="L361" s="17" t="s">
        <v>372</v>
      </c>
      <c r="M361" s="42" t="s">
        <v>371</v>
      </c>
    </row>
    <row r="362" spans="2:13" ht="63.75" customHeight="1" x14ac:dyDescent="0.25">
      <c r="B362" s="19" t="s">
        <v>644</v>
      </c>
      <c r="C362" s="60"/>
      <c r="D362" s="57" t="s">
        <v>6</v>
      </c>
      <c r="E362" s="18" t="s">
        <v>44</v>
      </c>
      <c r="F362" s="17">
        <v>1.7</v>
      </c>
      <c r="G362" s="17" t="s">
        <v>623</v>
      </c>
      <c r="H362" s="17" t="s">
        <v>45</v>
      </c>
      <c r="I362" s="17" t="s">
        <v>43</v>
      </c>
      <c r="J362" s="17">
        <v>3</v>
      </c>
      <c r="K362" s="19">
        <v>3</v>
      </c>
      <c r="L362" s="17" t="s">
        <v>372</v>
      </c>
      <c r="M362" s="42" t="s">
        <v>371</v>
      </c>
    </row>
    <row r="363" spans="2:13" ht="63.75" customHeight="1" x14ac:dyDescent="0.25">
      <c r="B363" s="19" t="s">
        <v>644</v>
      </c>
      <c r="C363" s="60"/>
      <c r="D363" s="57" t="s">
        <v>6</v>
      </c>
      <c r="E363" s="18" t="s">
        <v>46</v>
      </c>
      <c r="F363" s="17">
        <v>1.7</v>
      </c>
      <c r="G363" s="17" t="s">
        <v>623</v>
      </c>
      <c r="H363" s="17" t="s">
        <v>47</v>
      </c>
      <c r="I363" s="17" t="s">
        <v>43</v>
      </c>
      <c r="J363" s="17">
        <v>3</v>
      </c>
      <c r="K363" s="19">
        <v>2</v>
      </c>
      <c r="L363" s="17" t="s">
        <v>372</v>
      </c>
      <c r="M363" s="42" t="s">
        <v>373</v>
      </c>
    </row>
    <row r="364" spans="2:13" ht="78" customHeight="1" x14ac:dyDescent="0.25">
      <c r="B364" s="19" t="s">
        <v>644</v>
      </c>
      <c r="C364" s="60"/>
      <c r="D364" s="57" t="s">
        <v>6</v>
      </c>
      <c r="E364" s="18" t="s">
        <v>48</v>
      </c>
      <c r="F364" s="17">
        <v>1.8</v>
      </c>
      <c r="G364" s="17" t="s">
        <v>624</v>
      </c>
      <c r="H364" s="17" t="s">
        <v>49</v>
      </c>
      <c r="I364" s="17" t="s">
        <v>50</v>
      </c>
      <c r="J364" s="17">
        <v>2</v>
      </c>
      <c r="K364" s="19">
        <v>1</v>
      </c>
      <c r="L364" s="17" t="s">
        <v>374</v>
      </c>
      <c r="M364" s="42" t="s">
        <v>373</v>
      </c>
    </row>
    <row r="365" spans="2:13" ht="89.25" x14ac:dyDescent="0.25">
      <c r="B365" s="19" t="s">
        <v>644</v>
      </c>
      <c r="C365" s="60"/>
      <c r="D365" s="57" t="s">
        <v>6</v>
      </c>
      <c r="E365" s="18" t="s">
        <v>51</v>
      </c>
      <c r="F365" s="17">
        <v>1.8</v>
      </c>
      <c r="G365" s="17" t="s">
        <v>624</v>
      </c>
      <c r="H365" s="17" t="s">
        <v>52</v>
      </c>
      <c r="I365" s="17" t="s">
        <v>53</v>
      </c>
      <c r="J365" s="17">
        <v>6</v>
      </c>
      <c r="K365" s="19">
        <v>5</v>
      </c>
      <c r="L365" s="17" t="s">
        <v>609</v>
      </c>
      <c r="M365" s="42" t="s">
        <v>373</v>
      </c>
    </row>
    <row r="366" spans="2:13" ht="76.5" x14ac:dyDescent="0.25">
      <c r="B366" s="19" t="s">
        <v>644</v>
      </c>
      <c r="C366" s="60"/>
      <c r="D366" s="57" t="s">
        <v>6</v>
      </c>
      <c r="E366" s="18" t="s">
        <v>54</v>
      </c>
      <c r="F366" s="17">
        <v>1.8</v>
      </c>
      <c r="G366" s="17" t="s">
        <v>624</v>
      </c>
      <c r="H366" s="17" t="s">
        <v>55</v>
      </c>
      <c r="I366" s="17" t="s">
        <v>56</v>
      </c>
      <c r="J366" s="17">
        <v>2</v>
      </c>
      <c r="K366" s="19">
        <v>2</v>
      </c>
      <c r="L366" s="17" t="s">
        <v>383</v>
      </c>
      <c r="M366" s="41" t="s">
        <v>375</v>
      </c>
    </row>
    <row r="367" spans="2:13" ht="63.75" x14ac:dyDescent="0.25">
      <c r="B367" s="19" t="s">
        <v>644</v>
      </c>
      <c r="C367" s="60"/>
      <c r="D367" s="57" t="s">
        <v>6</v>
      </c>
      <c r="E367" s="18" t="s">
        <v>57</v>
      </c>
      <c r="F367" s="17">
        <v>1.9</v>
      </c>
      <c r="G367" s="17" t="s">
        <v>58</v>
      </c>
      <c r="H367" s="17" t="s">
        <v>59</v>
      </c>
      <c r="I367" s="17" t="s">
        <v>60</v>
      </c>
      <c r="J367" s="17">
        <v>2</v>
      </c>
      <c r="K367" s="19">
        <v>1</v>
      </c>
      <c r="L367" s="17" t="s">
        <v>377</v>
      </c>
      <c r="M367" s="42" t="s">
        <v>376</v>
      </c>
    </row>
    <row r="368" spans="2:13" ht="118.5" customHeight="1" x14ac:dyDescent="0.25">
      <c r="B368" s="19" t="s">
        <v>644</v>
      </c>
      <c r="C368" s="60"/>
      <c r="D368" s="57" t="s">
        <v>6</v>
      </c>
      <c r="E368" s="18" t="s">
        <v>61</v>
      </c>
      <c r="F368" s="17">
        <v>1.9</v>
      </c>
      <c r="G368" s="17" t="s">
        <v>58</v>
      </c>
      <c r="H368" s="17" t="s">
        <v>62</v>
      </c>
      <c r="I368" s="17" t="s">
        <v>63</v>
      </c>
      <c r="J368" s="17">
        <v>1</v>
      </c>
      <c r="K368" s="19">
        <v>2</v>
      </c>
      <c r="L368" s="17" t="s">
        <v>378</v>
      </c>
      <c r="M368" s="42" t="s">
        <v>376</v>
      </c>
    </row>
    <row r="369" spans="2:13" ht="67.5" customHeight="1" x14ac:dyDescent="0.25">
      <c r="B369" s="19" t="s">
        <v>644</v>
      </c>
      <c r="C369" s="60"/>
      <c r="D369" s="57" t="s">
        <v>6</v>
      </c>
      <c r="E369" s="18" t="s">
        <v>64</v>
      </c>
      <c r="F369" s="17">
        <v>1.9</v>
      </c>
      <c r="G369" s="17" t="s">
        <v>58</v>
      </c>
      <c r="H369" s="17" t="s">
        <v>65</v>
      </c>
      <c r="I369" s="17" t="s">
        <v>66</v>
      </c>
      <c r="J369" s="17">
        <v>2</v>
      </c>
      <c r="K369" s="19">
        <v>2</v>
      </c>
      <c r="L369" s="17" t="s">
        <v>379</v>
      </c>
      <c r="M369" s="42" t="s">
        <v>376</v>
      </c>
    </row>
    <row r="370" spans="2:13" ht="76.5" x14ac:dyDescent="0.25">
      <c r="B370" s="19" t="s">
        <v>644</v>
      </c>
      <c r="C370" s="61"/>
      <c r="D370" s="57" t="s">
        <v>67</v>
      </c>
      <c r="E370" s="18" t="s">
        <v>68</v>
      </c>
      <c r="F370" s="17">
        <v>2.1</v>
      </c>
      <c r="G370" s="17" t="s">
        <v>642</v>
      </c>
      <c r="H370" s="17" t="s">
        <v>69</v>
      </c>
      <c r="I370" s="17" t="s">
        <v>70</v>
      </c>
      <c r="J370" s="17">
        <v>2</v>
      </c>
      <c r="K370" s="19">
        <v>1</v>
      </c>
      <c r="L370" s="17" t="s">
        <v>403</v>
      </c>
      <c r="M370" s="17" t="s">
        <v>376</v>
      </c>
    </row>
    <row r="371" spans="2:13" ht="92.25" customHeight="1" x14ac:dyDescent="0.25">
      <c r="B371" s="19" t="s">
        <v>644</v>
      </c>
      <c r="C371" s="61"/>
      <c r="D371" s="57" t="s">
        <v>71</v>
      </c>
      <c r="E371" s="18" t="s">
        <v>72</v>
      </c>
      <c r="F371" s="17">
        <v>2.2000000000000002</v>
      </c>
      <c r="G371" s="17" t="s">
        <v>73</v>
      </c>
      <c r="H371" s="17" t="s">
        <v>74</v>
      </c>
      <c r="I371" s="17" t="s">
        <v>75</v>
      </c>
      <c r="J371" s="17">
        <v>3</v>
      </c>
      <c r="K371" s="19">
        <v>1</v>
      </c>
      <c r="L371" s="17" t="s">
        <v>222</v>
      </c>
      <c r="M371" s="17" t="s">
        <v>376</v>
      </c>
    </row>
    <row r="372" spans="2:13" ht="92.25" customHeight="1" x14ac:dyDescent="0.25">
      <c r="B372" s="19" t="s">
        <v>644</v>
      </c>
      <c r="C372" s="61"/>
      <c r="D372" s="57" t="s">
        <v>71</v>
      </c>
      <c r="E372" s="18" t="s">
        <v>76</v>
      </c>
      <c r="F372" s="17">
        <v>2.2999999999999998</v>
      </c>
      <c r="G372" s="17" t="s">
        <v>77</v>
      </c>
      <c r="H372" s="17" t="s">
        <v>78</v>
      </c>
      <c r="I372" s="17" t="s">
        <v>75</v>
      </c>
      <c r="J372" s="17">
        <v>3</v>
      </c>
      <c r="K372" s="19">
        <v>1</v>
      </c>
      <c r="L372" s="17" t="s">
        <v>222</v>
      </c>
      <c r="M372" s="17" t="s">
        <v>665</v>
      </c>
    </row>
    <row r="373" spans="2:13" ht="92.25" customHeight="1" x14ac:dyDescent="0.25">
      <c r="B373" s="19" t="s">
        <v>644</v>
      </c>
      <c r="C373" s="61"/>
      <c r="D373" s="57" t="s">
        <v>71</v>
      </c>
      <c r="E373" s="18" t="s">
        <v>79</v>
      </c>
      <c r="F373" s="17">
        <v>2.4</v>
      </c>
      <c r="G373" s="17" t="s">
        <v>80</v>
      </c>
      <c r="H373" s="17" t="s">
        <v>81</v>
      </c>
      <c r="I373" s="17" t="s">
        <v>75</v>
      </c>
      <c r="J373" s="17">
        <v>3</v>
      </c>
      <c r="K373" s="19">
        <v>3</v>
      </c>
      <c r="L373" s="17" t="s">
        <v>224</v>
      </c>
      <c r="M373" s="17" t="s">
        <v>665</v>
      </c>
    </row>
    <row r="374" spans="2:13" ht="40.5" customHeight="1" x14ac:dyDescent="0.25">
      <c r="B374" s="19" t="s">
        <v>644</v>
      </c>
      <c r="C374" s="61"/>
      <c r="D374" s="57" t="s">
        <v>67</v>
      </c>
      <c r="E374" s="18" t="s">
        <v>82</v>
      </c>
      <c r="F374" s="17">
        <v>2.5</v>
      </c>
      <c r="G374" s="17" t="s">
        <v>83</v>
      </c>
      <c r="H374" s="17" t="s">
        <v>84</v>
      </c>
      <c r="I374" s="17" t="s">
        <v>85</v>
      </c>
      <c r="J374" s="17">
        <v>1</v>
      </c>
      <c r="K374" s="19">
        <v>0.5</v>
      </c>
      <c r="L374" s="17" t="s">
        <v>445</v>
      </c>
      <c r="M374" s="21" t="s">
        <v>665</v>
      </c>
    </row>
    <row r="375" spans="2:13" ht="50.25" customHeight="1" x14ac:dyDescent="0.25">
      <c r="B375" s="19" t="s">
        <v>644</v>
      </c>
      <c r="C375" s="61"/>
      <c r="D375" s="57" t="s">
        <v>67</v>
      </c>
      <c r="E375" s="18" t="s">
        <v>86</v>
      </c>
      <c r="F375" s="17">
        <v>2.6</v>
      </c>
      <c r="G375" s="17" t="s">
        <v>625</v>
      </c>
      <c r="H375" s="17" t="s">
        <v>87</v>
      </c>
      <c r="I375" s="17" t="s">
        <v>88</v>
      </c>
      <c r="J375" s="17">
        <v>2</v>
      </c>
      <c r="K375" s="19">
        <v>1</v>
      </c>
      <c r="L375" s="17" t="s">
        <v>617</v>
      </c>
      <c r="M375" s="17"/>
    </row>
    <row r="376" spans="2:13" ht="65.25" customHeight="1" x14ac:dyDescent="0.25">
      <c r="B376" s="19" t="s">
        <v>644</v>
      </c>
      <c r="C376" s="61"/>
      <c r="D376" s="57" t="s">
        <v>67</v>
      </c>
      <c r="E376" s="18" t="s">
        <v>89</v>
      </c>
      <c r="F376" s="17">
        <v>2.6</v>
      </c>
      <c r="G376" s="17" t="s">
        <v>625</v>
      </c>
      <c r="H376" s="17" t="s">
        <v>90</v>
      </c>
      <c r="I376" s="17" t="s">
        <v>91</v>
      </c>
      <c r="J376" s="17">
        <v>1</v>
      </c>
      <c r="K376" s="19"/>
      <c r="L376" s="17"/>
      <c r="M376" s="17"/>
    </row>
    <row r="377" spans="2:13" ht="40.5" customHeight="1" x14ac:dyDescent="0.25">
      <c r="B377" s="19" t="s">
        <v>644</v>
      </c>
      <c r="C377" s="61"/>
      <c r="D377" s="57" t="s">
        <v>92</v>
      </c>
      <c r="E377" s="18" t="s">
        <v>93</v>
      </c>
      <c r="F377" s="17">
        <v>2.7</v>
      </c>
      <c r="G377" s="17" t="s">
        <v>626</v>
      </c>
      <c r="H377" s="17" t="s">
        <v>94</v>
      </c>
      <c r="I377" s="17" t="s">
        <v>85</v>
      </c>
      <c r="J377" s="17">
        <v>1</v>
      </c>
      <c r="K377" s="19">
        <v>0</v>
      </c>
      <c r="L377" s="17"/>
      <c r="M377" s="17"/>
    </row>
    <row r="378" spans="2:13" ht="106.5" customHeight="1" x14ac:dyDescent="0.25">
      <c r="B378" s="19" t="s">
        <v>644</v>
      </c>
      <c r="C378" s="61"/>
      <c r="D378" s="57" t="s">
        <v>92</v>
      </c>
      <c r="E378" s="18" t="s">
        <v>95</v>
      </c>
      <c r="F378" s="17">
        <v>2.8</v>
      </c>
      <c r="G378" s="17" t="s">
        <v>96</v>
      </c>
      <c r="H378" s="17" t="s">
        <v>97</v>
      </c>
      <c r="I378" s="17" t="s">
        <v>98</v>
      </c>
      <c r="J378" s="17">
        <v>3</v>
      </c>
      <c r="K378" s="19"/>
      <c r="L378" s="17" t="s">
        <v>446</v>
      </c>
      <c r="M378" s="21" t="s">
        <v>447</v>
      </c>
    </row>
    <row r="379" spans="2:13" ht="106.5" customHeight="1" x14ac:dyDescent="0.25">
      <c r="B379" s="19" t="s">
        <v>644</v>
      </c>
      <c r="C379" s="61"/>
      <c r="D379" s="57" t="s">
        <v>92</v>
      </c>
      <c r="E379" s="18" t="s">
        <v>99</v>
      </c>
      <c r="F379" s="17">
        <v>2.9</v>
      </c>
      <c r="G379" s="17" t="s">
        <v>100</v>
      </c>
      <c r="H379" s="17" t="s">
        <v>101</v>
      </c>
      <c r="I379" s="17" t="s">
        <v>85</v>
      </c>
      <c r="J379" s="17">
        <v>1</v>
      </c>
      <c r="K379" s="19">
        <v>1</v>
      </c>
      <c r="L379" s="17" t="s">
        <v>448</v>
      </c>
      <c r="M379" s="21" t="s">
        <v>369</v>
      </c>
    </row>
    <row r="380" spans="2:13" ht="39.75" customHeight="1" x14ac:dyDescent="0.25">
      <c r="B380" s="19" t="s">
        <v>644</v>
      </c>
      <c r="C380" s="61"/>
      <c r="D380" s="57" t="s">
        <v>92</v>
      </c>
      <c r="E380" s="18" t="s">
        <v>102</v>
      </c>
      <c r="F380" s="17">
        <v>2.9</v>
      </c>
      <c r="G380" s="17" t="s">
        <v>100</v>
      </c>
      <c r="H380" s="17" t="s">
        <v>103</v>
      </c>
      <c r="I380" s="17" t="s">
        <v>85</v>
      </c>
      <c r="J380" s="17">
        <v>1</v>
      </c>
      <c r="K380" s="19">
        <v>0</v>
      </c>
      <c r="L380" s="17"/>
      <c r="M380" s="20"/>
    </row>
    <row r="381" spans="2:13" ht="53.25" customHeight="1" x14ac:dyDescent="0.25">
      <c r="B381" s="19" t="s">
        <v>644</v>
      </c>
      <c r="C381" s="61"/>
      <c r="D381" s="57" t="s">
        <v>92</v>
      </c>
      <c r="E381" s="18" t="s">
        <v>104</v>
      </c>
      <c r="F381" s="17">
        <v>2.9</v>
      </c>
      <c r="G381" s="17" t="s">
        <v>100</v>
      </c>
      <c r="H381" s="17" t="s">
        <v>105</v>
      </c>
      <c r="I381" s="17" t="s">
        <v>85</v>
      </c>
      <c r="J381" s="17">
        <v>1</v>
      </c>
      <c r="K381" s="19">
        <v>0</v>
      </c>
      <c r="L381" s="17"/>
      <c r="M381" s="20"/>
    </row>
    <row r="382" spans="2:13" ht="54" customHeight="1" x14ac:dyDescent="0.25">
      <c r="B382" s="19" t="s">
        <v>644</v>
      </c>
      <c r="C382" s="62"/>
      <c r="D382" s="57" t="s">
        <v>106</v>
      </c>
      <c r="E382" s="18" t="s">
        <v>107</v>
      </c>
      <c r="F382" s="17">
        <v>3.1</v>
      </c>
      <c r="G382" s="17" t="s">
        <v>108</v>
      </c>
      <c r="H382" s="17" t="s">
        <v>109</v>
      </c>
      <c r="I382" s="17" t="s">
        <v>110</v>
      </c>
      <c r="J382" s="17">
        <v>1</v>
      </c>
      <c r="K382" s="19">
        <v>0.5</v>
      </c>
      <c r="L382" s="17" t="s">
        <v>504</v>
      </c>
      <c r="M382" s="17"/>
    </row>
    <row r="383" spans="2:13" ht="105.75" customHeight="1" x14ac:dyDescent="0.25">
      <c r="B383" s="19" t="s">
        <v>644</v>
      </c>
      <c r="C383" s="62"/>
      <c r="D383" s="57" t="s">
        <v>111</v>
      </c>
      <c r="E383" s="18" t="s">
        <v>112</v>
      </c>
      <c r="F383" s="17">
        <v>3.2</v>
      </c>
      <c r="G383" s="17" t="s">
        <v>113</v>
      </c>
      <c r="H383" s="17" t="s">
        <v>114</v>
      </c>
      <c r="I383" s="17" t="s">
        <v>115</v>
      </c>
      <c r="J383" s="17">
        <v>1</v>
      </c>
      <c r="K383" s="19">
        <v>0</v>
      </c>
      <c r="L383" s="17" t="s">
        <v>505</v>
      </c>
      <c r="M383" s="17" t="s">
        <v>426</v>
      </c>
    </row>
    <row r="384" spans="2:13" ht="106.5" customHeight="1" x14ac:dyDescent="0.25">
      <c r="B384" s="19" t="s">
        <v>644</v>
      </c>
      <c r="C384" s="62"/>
      <c r="D384" s="57" t="s">
        <v>111</v>
      </c>
      <c r="E384" s="18" t="s">
        <v>116</v>
      </c>
      <c r="F384" s="17">
        <v>3.2</v>
      </c>
      <c r="G384" s="17" t="s">
        <v>113</v>
      </c>
      <c r="H384" s="17" t="s">
        <v>117</v>
      </c>
      <c r="I384" s="17" t="s">
        <v>115</v>
      </c>
      <c r="J384" s="17">
        <v>1</v>
      </c>
      <c r="K384" s="19">
        <v>0</v>
      </c>
      <c r="L384" s="17" t="s">
        <v>505</v>
      </c>
      <c r="M384" s="17" t="s">
        <v>426</v>
      </c>
    </row>
    <row r="385" spans="2:13" ht="51" x14ac:dyDescent="0.25">
      <c r="B385" s="19" t="s">
        <v>644</v>
      </c>
      <c r="C385" s="62"/>
      <c r="D385" s="57" t="s">
        <v>111</v>
      </c>
      <c r="E385" s="18" t="s">
        <v>118</v>
      </c>
      <c r="F385" s="17">
        <v>3.2</v>
      </c>
      <c r="G385" s="17" t="s">
        <v>113</v>
      </c>
      <c r="H385" s="17" t="s">
        <v>119</v>
      </c>
      <c r="I385" s="17" t="s">
        <v>115</v>
      </c>
      <c r="J385" s="17">
        <v>1</v>
      </c>
      <c r="K385" s="19">
        <v>0</v>
      </c>
      <c r="L385" s="17"/>
      <c r="M385" s="17" t="s">
        <v>426</v>
      </c>
    </row>
    <row r="386" spans="2:13" ht="93" customHeight="1" x14ac:dyDescent="0.25">
      <c r="B386" s="19" t="s">
        <v>644</v>
      </c>
      <c r="C386" s="62"/>
      <c r="D386" s="57" t="s">
        <v>111</v>
      </c>
      <c r="E386" s="18" t="s">
        <v>120</v>
      </c>
      <c r="F386" s="17">
        <v>3.3</v>
      </c>
      <c r="G386" s="17" t="s">
        <v>627</v>
      </c>
      <c r="H386" s="17" t="s">
        <v>121</v>
      </c>
      <c r="I386" s="17" t="s">
        <v>122</v>
      </c>
      <c r="J386" s="17">
        <v>1</v>
      </c>
      <c r="K386" s="19">
        <v>0</v>
      </c>
      <c r="L386" s="17" t="s">
        <v>506</v>
      </c>
      <c r="M386" s="17" t="s">
        <v>507</v>
      </c>
    </row>
    <row r="387" spans="2:13" ht="54.75" customHeight="1" x14ac:dyDescent="0.25">
      <c r="B387" s="19" t="s">
        <v>644</v>
      </c>
      <c r="C387" s="62"/>
      <c r="D387" s="57" t="s">
        <v>111</v>
      </c>
      <c r="E387" s="18" t="s">
        <v>123</v>
      </c>
      <c r="F387" s="17">
        <v>3.4</v>
      </c>
      <c r="G387" s="17" t="s">
        <v>628</v>
      </c>
      <c r="H387" s="17" t="s">
        <v>124</v>
      </c>
      <c r="I387" s="17" t="s">
        <v>115</v>
      </c>
      <c r="J387" s="17">
        <v>1</v>
      </c>
      <c r="K387" s="19">
        <v>0</v>
      </c>
      <c r="L387" s="17"/>
      <c r="M387" s="17" t="s">
        <v>510</v>
      </c>
    </row>
    <row r="388" spans="2:13" ht="97.5" customHeight="1" x14ac:dyDescent="0.25">
      <c r="B388" s="19" t="s">
        <v>644</v>
      </c>
      <c r="C388" s="62"/>
      <c r="D388" s="57" t="s">
        <v>125</v>
      </c>
      <c r="E388" s="18" t="s">
        <v>126</v>
      </c>
      <c r="F388" s="17">
        <v>3.5</v>
      </c>
      <c r="G388" s="17" t="s">
        <v>127</v>
      </c>
      <c r="H388" s="17" t="s">
        <v>128</v>
      </c>
      <c r="I388" s="17" t="s">
        <v>129</v>
      </c>
      <c r="J388" s="17">
        <v>1</v>
      </c>
      <c r="K388" s="19">
        <v>1</v>
      </c>
      <c r="L388" s="17" t="s">
        <v>511</v>
      </c>
      <c r="M388" s="20" t="s">
        <v>512</v>
      </c>
    </row>
    <row r="389" spans="2:13" ht="51" customHeight="1" x14ac:dyDescent="0.25">
      <c r="B389" s="19" t="s">
        <v>644</v>
      </c>
      <c r="C389" s="62"/>
      <c r="D389" s="57" t="s">
        <v>130</v>
      </c>
      <c r="E389" s="18" t="s">
        <v>131</v>
      </c>
      <c r="F389" s="17">
        <v>3.6</v>
      </c>
      <c r="G389" s="17" t="s">
        <v>255</v>
      </c>
      <c r="H389" s="17" t="s">
        <v>132</v>
      </c>
      <c r="I389" s="17" t="s">
        <v>115</v>
      </c>
      <c r="J389" s="17">
        <v>1</v>
      </c>
      <c r="K389" s="19">
        <v>0</v>
      </c>
      <c r="L389" s="17"/>
      <c r="M389" s="20"/>
    </row>
    <row r="390" spans="2:13" ht="51" customHeight="1" x14ac:dyDescent="0.25">
      <c r="B390" s="19" t="s">
        <v>644</v>
      </c>
      <c r="C390" s="62"/>
      <c r="D390" s="57" t="s">
        <v>130</v>
      </c>
      <c r="E390" s="18" t="s">
        <v>133</v>
      </c>
      <c r="F390" s="17">
        <v>3.7</v>
      </c>
      <c r="G390" s="17" t="s">
        <v>260</v>
      </c>
      <c r="H390" s="17" t="s">
        <v>134</v>
      </c>
      <c r="I390" s="17" t="s">
        <v>135</v>
      </c>
      <c r="J390" s="17">
        <v>1</v>
      </c>
      <c r="K390" s="19">
        <v>1</v>
      </c>
      <c r="L390" s="17" t="s">
        <v>508</v>
      </c>
      <c r="M390" s="21" t="s">
        <v>509</v>
      </c>
    </row>
    <row r="391" spans="2:13" ht="51" customHeight="1" x14ac:dyDescent="0.25">
      <c r="B391" s="19" t="s">
        <v>644</v>
      </c>
      <c r="C391" s="63"/>
      <c r="D391" s="57" t="s">
        <v>136</v>
      </c>
      <c r="E391" s="18" t="s">
        <v>137</v>
      </c>
      <c r="F391" s="17">
        <v>4.0999999999999996</v>
      </c>
      <c r="G391" s="17" t="s">
        <v>629</v>
      </c>
      <c r="H391" s="17" t="s">
        <v>138</v>
      </c>
      <c r="I391" s="17" t="s">
        <v>85</v>
      </c>
      <c r="J391" s="17">
        <v>1</v>
      </c>
      <c r="K391" s="19">
        <v>1</v>
      </c>
      <c r="L391" s="17"/>
      <c r="M391" s="17" t="s">
        <v>563</v>
      </c>
    </row>
    <row r="392" spans="2:13" ht="51" x14ac:dyDescent="0.25">
      <c r="B392" s="19" t="s">
        <v>644</v>
      </c>
      <c r="C392" s="63"/>
      <c r="D392" s="57" t="s">
        <v>139</v>
      </c>
      <c r="E392" s="18" t="s">
        <v>140</v>
      </c>
      <c r="F392" s="17">
        <v>4.2</v>
      </c>
      <c r="G392" s="17" t="s">
        <v>630</v>
      </c>
      <c r="H392" s="17" t="s">
        <v>141</v>
      </c>
      <c r="I392" s="17" t="s">
        <v>142</v>
      </c>
      <c r="J392" s="17">
        <v>2</v>
      </c>
      <c r="K392" s="19">
        <v>0</v>
      </c>
      <c r="L392" s="17"/>
      <c r="M392" s="17" t="s">
        <v>557</v>
      </c>
    </row>
    <row r="393" spans="2:13" ht="52.5" customHeight="1" x14ac:dyDescent="0.25">
      <c r="B393" s="19" t="s">
        <v>644</v>
      </c>
      <c r="C393" s="63"/>
      <c r="D393" s="57" t="s">
        <v>139</v>
      </c>
      <c r="E393" s="18" t="s">
        <v>143</v>
      </c>
      <c r="F393" s="17">
        <v>4.3</v>
      </c>
      <c r="G393" s="17" t="s">
        <v>631</v>
      </c>
      <c r="H393" s="17" t="s">
        <v>144</v>
      </c>
      <c r="I393" s="17" t="s">
        <v>142</v>
      </c>
      <c r="J393" s="17">
        <v>2</v>
      </c>
      <c r="K393" s="19">
        <v>2</v>
      </c>
      <c r="L393" s="17" t="s">
        <v>558</v>
      </c>
      <c r="M393" s="17" t="s">
        <v>557</v>
      </c>
    </row>
    <row r="394" spans="2:13" ht="296.25" customHeight="1" x14ac:dyDescent="0.25">
      <c r="B394" s="19" t="s">
        <v>644</v>
      </c>
      <c r="C394" s="63"/>
      <c r="D394" s="57" t="s">
        <v>139</v>
      </c>
      <c r="E394" s="18" t="s">
        <v>145</v>
      </c>
      <c r="F394" s="17">
        <v>4.4000000000000004</v>
      </c>
      <c r="G394" s="17" t="s">
        <v>632</v>
      </c>
      <c r="H394" s="17" t="s">
        <v>146</v>
      </c>
      <c r="I394" s="17" t="s">
        <v>147</v>
      </c>
      <c r="J394" s="17">
        <v>7</v>
      </c>
      <c r="K394" s="19">
        <v>2</v>
      </c>
      <c r="L394" s="17" t="s">
        <v>559</v>
      </c>
      <c r="M394" s="17"/>
    </row>
    <row r="395" spans="2:13" ht="54" customHeight="1" x14ac:dyDescent="0.25">
      <c r="B395" s="19" t="s">
        <v>644</v>
      </c>
      <c r="C395" s="63"/>
      <c r="D395" s="57" t="s">
        <v>148</v>
      </c>
      <c r="E395" s="18" t="s">
        <v>149</v>
      </c>
      <c r="F395" s="17">
        <v>4.5</v>
      </c>
      <c r="G395" s="17" t="s">
        <v>633</v>
      </c>
      <c r="H395" s="17" t="s">
        <v>150</v>
      </c>
      <c r="I395" s="17" t="s">
        <v>115</v>
      </c>
      <c r="J395" s="17">
        <v>1</v>
      </c>
      <c r="K395" s="19">
        <v>1</v>
      </c>
      <c r="L395" s="17"/>
      <c r="M395" s="17" t="s">
        <v>563</v>
      </c>
    </row>
    <row r="396" spans="2:13" ht="53.25" customHeight="1" x14ac:dyDescent="0.25">
      <c r="B396" s="19" t="s">
        <v>644</v>
      </c>
      <c r="C396" s="63"/>
      <c r="D396" s="57" t="s">
        <v>148</v>
      </c>
      <c r="E396" s="18" t="s">
        <v>151</v>
      </c>
      <c r="F396" s="17">
        <v>4.5999999999999996</v>
      </c>
      <c r="G396" s="17" t="s">
        <v>634</v>
      </c>
      <c r="H396" s="17" t="s">
        <v>152</v>
      </c>
      <c r="I396" s="17" t="s">
        <v>85</v>
      </c>
      <c r="J396" s="17">
        <v>1</v>
      </c>
      <c r="K396" s="19">
        <v>0</v>
      </c>
      <c r="L396" s="17"/>
      <c r="M396" s="17" t="s">
        <v>563</v>
      </c>
    </row>
    <row r="397" spans="2:13" ht="51.75" customHeight="1" x14ac:dyDescent="0.25">
      <c r="B397" s="19" t="s">
        <v>644</v>
      </c>
      <c r="C397" s="63"/>
      <c r="D397" s="57" t="s">
        <v>148</v>
      </c>
      <c r="E397" s="18" t="s">
        <v>153</v>
      </c>
      <c r="F397" s="17">
        <v>4.7</v>
      </c>
      <c r="G397" s="17" t="s">
        <v>635</v>
      </c>
      <c r="H397" s="17" t="s">
        <v>154</v>
      </c>
      <c r="I397" s="17" t="s">
        <v>85</v>
      </c>
      <c r="J397" s="17">
        <v>1</v>
      </c>
      <c r="K397" s="19">
        <v>0</v>
      </c>
      <c r="L397" s="17"/>
      <c r="M397" s="17" t="s">
        <v>563</v>
      </c>
    </row>
    <row r="398" spans="2:13" ht="51.75" customHeight="1" x14ac:dyDescent="0.25">
      <c r="B398" s="19" t="s">
        <v>644</v>
      </c>
      <c r="C398" s="63"/>
      <c r="D398" s="57" t="s">
        <v>148</v>
      </c>
      <c r="E398" s="18" t="s">
        <v>155</v>
      </c>
      <c r="F398" s="17">
        <v>4.8</v>
      </c>
      <c r="G398" s="17" t="s">
        <v>156</v>
      </c>
      <c r="H398" s="17" t="s">
        <v>157</v>
      </c>
      <c r="I398" s="17" t="s">
        <v>85</v>
      </c>
      <c r="J398" s="17">
        <v>1</v>
      </c>
      <c r="K398" s="19">
        <v>0</v>
      </c>
      <c r="L398" s="17"/>
      <c r="M398" s="17" t="s">
        <v>563</v>
      </c>
    </row>
    <row r="399" spans="2:13" ht="25.5" x14ac:dyDescent="0.25">
      <c r="B399" s="19" t="s">
        <v>644</v>
      </c>
      <c r="C399" s="63"/>
      <c r="D399" s="57" t="s">
        <v>136</v>
      </c>
      <c r="E399" s="18" t="s">
        <v>158</v>
      </c>
      <c r="F399" s="17">
        <v>4.9000000000000004</v>
      </c>
      <c r="G399" s="17" t="s">
        <v>636</v>
      </c>
      <c r="H399" s="17" t="s">
        <v>159</v>
      </c>
      <c r="I399" s="17" t="s">
        <v>85</v>
      </c>
      <c r="J399" s="17">
        <v>1</v>
      </c>
      <c r="K399" s="19">
        <v>1</v>
      </c>
      <c r="L399" s="17"/>
      <c r="M399" s="17" t="s">
        <v>563</v>
      </c>
    </row>
    <row r="400" spans="2:13" ht="25.5" x14ac:dyDescent="0.25">
      <c r="B400" s="19" t="s">
        <v>644</v>
      </c>
      <c r="C400" s="63"/>
      <c r="D400" s="57" t="s">
        <v>136</v>
      </c>
      <c r="E400" s="18" t="s">
        <v>160</v>
      </c>
      <c r="F400" s="27">
        <v>4.0999999999999996</v>
      </c>
      <c r="G400" s="17" t="s">
        <v>637</v>
      </c>
      <c r="H400" s="17" t="s">
        <v>161</v>
      </c>
      <c r="I400" s="17" t="s">
        <v>85</v>
      </c>
      <c r="J400" s="17">
        <v>1</v>
      </c>
      <c r="K400" s="19">
        <v>1</v>
      </c>
      <c r="L400" s="17"/>
      <c r="M400" s="17" t="s">
        <v>563</v>
      </c>
    </row>
    <row r="401" spans="2:13" ht="66" customHeight="1" x14ac:dyDescent="0.25">
      <c r="B401" s="19" t="s">
        <v>644</v>
      </c>
      <c r="C401" s="63"/>
      <c r="D401" s="57" t="s">
        <v>136</v>
      </c>
      <c r="E401" s="18" t="s">
        <v>162</v>
      </c>
      <c r="F401" s="17">
        <v>4.1100000000000003</v>
      </c>
      <c r="G401" s="17" t="s">
        <v>638</v>
      </c>
      <c r="H401" s="17" t="s">
        <v>163</v>
      </c>
      <c r="I401" s="17" t="s">
        <v>85</v>
      </c>
      <c r="J401" s="17">
        <v>1</v>
      </c>
      <c r="K401" s="19">
        <v>0</v>
      </c>
      <c r="L401" s="17"/>
      <c r="M401" s="17" t="s">
        <v>563</v>
      </c>
    </row>
    <row r="402" spans="2:13" ht="54.75" customHeight="1" x14ac:dyDescent="0.25">
      <c r="B402" s="19" t="s">
        <v>644</v>
      </c>
      <c r="C402" s="63"/>
      <c r="D402" s="57" t="s">
        <v>136</v>
      </c>
      <c r="E402" s="18" t="s">
        <v>164</v>
      </c>
      <c r="F402" s="17">
        <v>4.12</v>
      </c>
      <c r="G402" s="17" t="s">
        <v>639</v>
      </c>
      <c r="H402" s="17" t="s">
        <v>165</v>
      </c>
      <c r="I402" s="17" t="s">
        <v>85</v>
      </c>
      <c r="J402" s="17">
        <v>1</v>
      </c>
      <c r="K402" s="19">
        <v>0</v>
      </c>
      <c r="L402" s="17" t="s">
        <v>560</v>
      </c>
      <c r="M402" s="17" t="s">
        <v>426</v>
      </c>
    </row>
    <row r="403" spans="2:13" ht="69" customHeight="1" thickBot="1" x14ac:dyDescent="0.3">
      <c r="B403" s="69" t="s">
        <v>644</v>
      </c>
      <c r="C403" s="70"/>
      <c r="D403" s="71" t="s">
        <v>136</v>
      </c>
      <c r="E403" s="72" t="s">
        <v>166</v>
      </c>
      <c r="F403" s="73">
        <v>4.13</v>
      </c>
      <c r="G403" s="73" t="s">
        <v>640</v>
      </c>
      <c r="H403" s="73" t="s">
        <v>167</v>
      </c>
      <c r="I403" s="73" t="s">
        <v>85</v>
      </c>
      <c r="J403" s="73">
        <v>1</v>
      </c>
      <c r="K403" s="69">
        <v>1</v>
      </c>
      <c r="L403" s="73" t="s">
        <v>561</v>
      </c>
      <c r="M403" s="73" t="s">
        <v>562</v>
      </c>
    </row>
    <row r="404" spans="2:13" ht="78.75" customHeight="1" thickTop="1" x14ac:dyDescent="0.25">
      <c r="B404" s="52" t="s">
        <v>188</v>
      </c>
      <c r="C404" s="65"/>
      <c r="D404" s="59" t="s">
        <v>6</v>
      </c>
      <c r="E404" s="51" t="s">
        <v>7</v>
      </c>
      <c r="F404" s="50">
        <v>1.1000000000000001</v>
      </c>
      <c r="G404" s="50" t="s">
        <v>618</v>
      </c>
      <c r="H404" s="50" t="s">
        <v>8</v>
      </c>
      <c r="I404" s="50" t="s">
        <v>9</v>
      </c>
      <c r="J404" s="50">
        <v>2</v>
      </c>
      <c r="K404" s="52">
        <v>2</v>
      </c>
      <c r="L404" s="50" t="s">
        <v>384</v>
      </c>
      <c r="M404" s="53" t="s">
        <v>666</v>
      </c>
    </row>
    <row r="405" spans="2:13" ht="90.75" customHeight="1" x14ac:dyDescent="0.25">
      <c r="B405" s="19" t="s">
        <v>188</v>
      </c>
      <c r="C405" s="60"/>
      <c r="D405" s="57" t="s">
        <v>6</v>
      </c>
      <c r="E405" s="18" t="s">
        <v>10</v>
      </c>
      <c r="F405" s="17">
        <v>1.1000000000000001</v>
      </c>
      <c r="G405" s="17" t="s">
        <v>618</v>
      </c>
      <c r="H405" s="17" t="s">
        <v>11</v>
      </c>
      <c r="I405" s="17" t="s">
        <v>9</v>
      </c>
      <c r="J405" s="17">
        <v>2</v>
      </c>
      <c r="K405" s="19">
        <v>2</v>
      </c>
      <c r="L405" s="17" t="s">
        <v>385</v>
      </c>
      <c r="M405" s="21" t="s">
        <v>667</v>
      </c>
    </row>
    <row r="406" spans="2:13" ht="109.5" customHeight="1" x14ac:dyDescent="0.25">
      <c r="B406" s="19" t="s">
        <v>188</v>
      </c>
      <c r="C406" s="60"/>
      <c r="D406" s="57" t="s">
        <v>6</v>
      </c>
      <c r="E406" s="18" t="s">
        <v>12</v>
      </c>
      <c r="F406" s="17">
        <v>1.1000000000000001</v>
      </c>
      <c r="G406" s="17" t="s">
        <v>618</v>
      </c>
      <c r="H406" s="17" t="s">
        <v>13</v>
      </c>
      <c r="I406" s="17" t="s">
        <v>9</v>
      </c>
      <c r="J406" s="17">
        <v>2</v>
      </c>
      <c r="K406" s="19">
        <v>1</v>
      </c>
      <c r="L406" s="17" t="s">
        <v>386</v>
      </c>
      <c r="M406" s="21" t="s">
        <v>667</v>
      </c>
    </row>
    <row r="407" spans="2:13" ht="89.25" x14ac:dyDescent="0.25">
      <c r="B407" s="19" t="s">
        <v>188</v>
      </c>
      <c r="C407" s="60"/>
      <c r="D407" s="57" t="s">
        <v>6</v>
      </c>
      <c r="E407" s="18" t="s">
        <v>14</v>
      </c>
      <c r="F407" s="17">
        <v>1.2</v>
      </c>
      <c r="G407" s="17" t="s">
        <v>619</v>
      </c>
      <c r="H407" s="17" t="s">
        <v>15</v>
      </c>
      <c r="I407" s="17" t="s">
        <v>16</v>
      </c>
      <c r="J407" s="17">
        <v>3</v>
      </c>
      <c r="K407" s="19">
        <v>3</v>
      </c>
      <c r="L407" s="17" t="s">
        <v>387</v>
      </c>
      <c r="M407" s="21" t="s">
        <v>667</v>
      </c>
    </row>
    <row r="408" spans="2:13" ht="89.25" x14ac:dyDescent="0.25">
      <c r="B408" s="19" t="s">
        <v>188</v>
      </c>
      <c r="C408" s="60"/>
      <c r="D408" s="57" t="s">
        <v>6</v>
      </c>
      <c r="E408" s="18" t="s">
        <v>17</v>
      </c>
      <c r="F408" s="17">
        <v>1.2</v>
      </c>
      <c r="G408" s="17" t="s">
        <v>619</v>
      </c>
      <c r="H408" s="17" t="s">
        <v>18</v>
      </c>
      <c r="I408" s="17" t="s">
        <v>16</v>
      </c>
      <c r="J408" s="17">
        <v>3</v>
      </c>
      <c r="K408" s="19">
        <v>3</v>
      </c>
      <c r="L408" s="17" t="s">
        <v>387</v>
      </c>
      <c r="M408" s="21" t="s">
        <v>668</v>
      </c>
    </row>
    <row r="409" spans="2:13" ht="89.25" x14ac:dyDescent="0.25">
      <c r="B409" s="19" t="s">
        <v>188</v>
      </c>
      <c r="C409" s="60"/>
      <c r="D409" s="57" t="s">
        <v>6</v>
      </c>
      <c r="E409" s="18" t="s">
        <v>19</v>
      </c>
      <c r="F409" s="17">
        <v>1.2</v>
      </c>
      <c r="G409" s="17" t="s">
        <v>619</v>
      </c>
      <c r="H409" s="17" t="s">
        <v>20</v>
      </c>
      <c r="I409" s="17" t="s">
        <v>16</v>
      </c>
      <c r="J409" s="17">
        <v>3</v>
      </c>
      <c r="K409" s="19">
        <v>3</v>
      </c>
      <c r="L409" s="17" t="s">
        <v>387</v>
      </c>
      <c r="M409" s="21" t="s">
        <v>668</v>
      </c>
    </row>
    <row r="410" spans="2:13" ht="81" customHeight="1" x14ac:dyDescent="0.25">
      <c r="B410" s="19" t="s">
        <v>188</v>
      </c>
      <c r="C410" s="60"/>
      <c r="D410" s="57" t="s">
        <v>6</v>
      </c>
      <c r="E410" s="18" t="s">
        <v>21</v>
      </c>
      <c r="F410" s="17">
        <v>1.3</v>
      </c>
      <c r="G410" s="17" t="s">
        <v>620</v>
      </c>
      <c r="H410" s="17" t="s">
        <v>22</v>
      </c>
      <c r="I410" s="17" t="s">
        <v>23</v>
      </c>
      <c r="J410" s="17">
        <v>2</v>
      </c>
      <c r="K410" s="19">
        <v>2</v>
      </c>
      <c r="L410" s="17" t="s">
        <v>388</v>
      </c>
      <c r="M410" s="21" t="s">
        <v>668</v>
      </c>
    </row>
    <row r="411" spans="2:13" ht="80.25" customHeight="1" x14ac:dyDescent="0.25">
      <c r="B411" s="19" t="s">
        <v>188</v>
      </c>
      <c r="C411" s="60"/>
      <c r="D411" s="57" t="s">
        <v>6</v>
      </c>
      <c r="E411" s="18" t="s">
        <v>24</v>
      </c>
      <c r="F411" s="17">
        <v>1.4</v>
      </c>
      <c r="G411" s="17" t="s">
        <v>641</v>
      </c>
      <c r="H411" s="17" t="s">
        <v>25</v>
      </c>
      <c r="I411" s="17" t="s">
        <v>26</v>
      </c>
      <c r="J411" s="17">
        <v>2</v>
      </c>
      <c r="K411" s="19">
        <v>1</v>
      </c>
      <c r="L411" s="17" t="s">
        <v>389</v>
      </c>
      <c r="M411" s="21"/>
    </row>
    <row r="412" spans="2:13" ht="108" customHeight="1" x14ac:dyDescent="0.25">
      <c r="B412" s="19" t="s">
        <v>188</v>
      </c>
      <c r="C412" s="60"/>
      <c r="D412" s="57" t="s">
        <v>6</v>
      </c>
      <c r="E412" s="18" t="s">
        <v>27</v>
      </c>
      <c r="F412" s="17">
        <v>1.5</v>
      </c>
      <c r="G412" s="17" t="s">
        <v>641</v>
      </c>
      <c r="H412" s="17" t="s">
        <v>28</v>
      </c>
      <c r="I412" s="17" t="s">
        <v>29</v>
      </c>
      <c r="J412" s="17">
        <v>3</v>
      </c>
      <c r="K412" s="19">
        <v>2</v>
      </c>
      <c r="L412" s="17" t="s">
        <v>394</v>
      </c>
      <c r="M412" s="21" t="s">
        <v>669</v>
      </c>
    </row>
    <row r="413" spans="2:13" ht="96" customHeight="1" x14ac:dyDescent="0.25">
      <c r="B413" s="19" t="s">
        <v>188</v>
      </c>
      <c r="C413" s="60"/>
      <c r="D413" s="57" t="s">
        <v>6</v>
      </c>
      <c r="E413" s="18" t="s">
        <v>30</v>
      </c>
      <c r="F413" s="17">
        <v>1.5</v>
      </c>
      <c r="G413" s="17" t="s">
        <v>641</v>
      </c>
      <c r="H413" s="17" t="s">
        <v>31</v>
      </c>
      <c r="I413" s="17" t="s">
        <v>29</v>
      </c>
      <c r="J413" s="17">
        <v>3</v>
      </c>
      <c r="K413" s="19">
        <v>2</v>
      </c>
      <c r="L413" s="17" t="s">
        <v>390</v>
      </c>
      <c r="M413" s="21" t="s">
        <v>668</v>
      </c>
    </row>
    <row r="414" spans="2:13" ht="92.25" customHeight="1" x14ac:dyDescent="0.25">
      <c r="B414" s="19" t="s">
        <v>188</v>
      </c>
      <c r="C414" s="60"/>
      <c r="D414" s="57" t="s">
        <v>6</v>
      </c>
      <c r="E414" s="18" t="s">
        <v>32</v>
      </c>
      <c r="F414" s="17">
        <v>1.5</v>
      </c>
      <c r="G414" s="17" t="s">
        <v>621</v>
      </c>
      <c r="H414" s="17" t="s">
        <v>33</v>
      </c>
      <c r="I414" s="17" t="s">
        <v>29</v>
      </c>
      <c r="J414" s="17">
        <v>3</v>
      </c>
      <c r="K414" s="19">
        <v>2</v>
      </c>
      <c r="L414" s="17" t="s">
        <v>390</v>
      </c>
      <c r="M414" s="21"/>
    </row>
    <row r="415" spans="2:13" ht="92.25" customHeight="1" x14ac:dyDescent="0.25">
      <c r="B415" s="19" t="s">
        <v>188</v>
      </c>
      <c r="C415" s="60"/>
      <c r="D415" s="57" t="s">
        <v>6</v>
      </c>
      <c r="E415" s="18" t="s">
        <v>34</v>
      </c>
      <c r="F415" s="17">
        <v>1.6</v>
      </c>
      <c r="G415" s="17" t="s">
        <v>622</v>
      </c>
      <c r="H415" s="17" t="s">
        <v>35</v>
      </c>
      <c r="I415" s="17" t="s">
        <v>36</v>
      </c>
      <c r="J415" s="17">
        <v>3</v>
      </c>
      <c r="K415" s="19">
        <v>2</v>
      </c>
      <c r="L415" s="17"/>
      <c r="M415" s="21"/>
    </row>
    <row r="416" spans="2:13" ht="92.25" customHeight="1" x14ac:dyDescent="0.25">
      <c r="B416" s="19" t="s">
        <v>188</v>
      </c>
      <c r="C416" s="60"/>
      <c r="D416" s="57" t="s">
        <v>6</v>
      </c>
      <c r="E416" s="18" t="s">
        <v>37</v>
      </c>
      <c r="F416" s="17">
        <v>1.6</v>
      </c>
      <c r="G416" s="17" t="s">
        <v>622</v>
      </c>
      <c r="H416" s="17" t="s">
        <v>38</v>
      </c>
      <c r="I416" s="17" t="s">
        <v>36</v>
      </c>
      <c r="J416" s="17">
        <v>3</v>
      </c>
      <c r="K416" s="19">
        <v>2</v>
      </c>
      <c r="L416" s="17"/>
      <c r="M416" s="21"/>
    </row>
    <row r="417" spans="2:13" ht="92.25" customHeight="1" x14ac:dyDescent="0.25">
      <c r="B417" s="19" t="s">
        <v>188</v>
      </c>
      <c r="C417" s="60"/>
      <c r="D417" s="57" t="s">
        <v>6</v>
      </c>
      <c r="E417" s="18" t="s">
        <v>39</v>
      </c>
      <c r="F417" s="17">
        <v>1.6</v>
      </c>
      <c r="G417" s="17" t="s">
        <v>622</v>
      </c>
      <c r="H417" s="17" t="s">
        <v>40</v>
      </c>
      <c r="I417" s="17" t="s">
        <v>36</v>
      </c>
      <c r="J417" s="17">
        <v>3</v>
      </c>
      <c r="K417" s="19">
        <v>2</v>
      </c>
      <c r="L417" s="17"/>
      <c r="M417" s="21"/>
    </row>
    <row r="418" spans="2:13" ht="63.75" customHeight="1" x14ac:dyDescent="0.25">
      <c r="B418" s="19" t="s">
        <v>188</v>
      </c>
      <c r="C418" s="60"/>
      <c r="D418" s="57" t="s">
        <v>6</v>
      </c>
      <c r="E418" s="18" t="s">
        <v>41</v>
      </c>
      <c r="F418" s="17">
        <v>1.7</v>
      </c>
      <c r="G418" s="17" t="s">
        <v>623</v>
      </c>
      <c r="H418" s="17" t="s">
        <v>42</v>
      </c>
      <c r="I418" s="17" t="s">
        <v>43</v>
      </c>
      <c r="J418" s="17">
        <v>3</v>
      </c>
      <c r="K418" s="19">
        <v>2</v>
      </c>
      <c r="L418" s="17" t="s">
        <v>395</v>
      </c>
      <c r="M418" s="21"/>
    </row>
    <row r="419" spans="2:13" ht="63.75" customHeight="1" x14ac:dyDescent="0.25">
      <c r="B419" s="19" t="s">
        <v>188</v>
      </c>
      <c r="C419" s="60"/>
      <c r="D419" s="57" t="s">
        <v>6</v>
      </c>
      <c r="E419" s="18" t="s">
        <v>44</v>
      </c>
      <c r="F419" s="17">
        <v>1.7</v>
      </c>
      <c r="G419" s="17" t="s">
        <v>623</v>
      </c>
      <c r="H419" s="17" t="s">
        <v>45</v>
      </c>
      <c r="I419" s="17" t="s">
        <v>43</v>
      </c>
      <c r="J419" s="17">
        <v>3</v>
      </c>
      <c r="K419" s="19">
        <v>2</v>
      </c>
      <c r="L419" s="17" t="s">
        <v>395</v>
      </c>
      <c r="M419" s="21"/>
    </row>
    <row r="420" spans="2:13" ht="63.75" customHeight="1" x14ac:dyDescent="0.25">
      <c r="B420" s="19" t="s">
        <v>188</v>
      </c>
      <c r="C420" s="60"/>
      <c r="D420" s="57" t="s">
        <v>6</v>
      </c>
      <c r="E420" s="18" t="s">
        <v>46</v>
      </c>
      <c r="F420" s="17">
        <v>1.7</v>
      </c>
      <c r="G420" s="17" t="s">
        <v>623</v>
      </c>
      <c r="H420" s="17" t="s">
        <v>47</v>
      </c>
      <c r="I420" s="17" t="s">
        <v>43</v>
      </c>
      <c r="J420" s="17">
        <v>3</v>
      </c>
      <c r="K420" s="19">
        <v>2</v>
      </c>
      <c r="L420" s="17" t="s">
        <v>395</v>
      </c>
      <c r="M420" s="21"/>
    </row>
    <row r="421" spans="2:13" ht="108.75" customHeight="1" x14ac:dyDescent="0.25">
      <c r="B421" s="19" t="s">
        <v>188</v>
      </c>
      <c r="C421" s="60"/>
      <c r="D421" s="57" t="s">
        <v>6</v>
      </c>
      <c r="E421" s="18" t="s">
        <v>48</v>
      </c>
      <c r="F421" s="17">
        <v>1.8</v>
      </c>
      <c r="G421" s="17" t="s">
        <v>624</v>
      </c>
      <c r="H421" s="17" t="s">
        <v>49</v>
      </c>
      <c r="I421" s="17" t="s">
        <v>50</v>
      </c>
      <c r="J421" s="17">
        <v>2</v>
      </c>
      <c r="K421" s="19">
        <v>2</v>
      </c>
      <c r="L421" s="17" t="s">
        <v>391</v>
      </c>
      <c r="M421" s="21"/>
    </row>
    <row r="422" spans="2:13" ht="63.75" x14ac:dyDescent="0.25">
      <c r="B422" s="19" t="s">
        <v>188</v>
      </c>
      <c r="C422" s="60"/>
      <c r="D422" s="57" t="s">
        <v>6</v>
      </c>
      <c r="E422" s="18" t="s">
        <v>51</v>
      </c>
      <c r="F422" s="17">
        <v>1.8</v>
      </c>
      <c r="G422" s="17" t="s">
        <v>624</v>
      </c>
      <c r="H422" s="17" t="s">
        <v>52</v>
      </c>
      <c r="I422" s="17" t="s">
        <v>53</v>
      </c>
      <c r="J422" s="17">
        <v>6</v>
      </c>
      <c r="K422" s="19">
        <v>5</v>
      </c>
      <c r="L422" s="17" t="s">
        <v>608</v>
      </c>
      <c r="M422" s="21"/>
    </row>
    <row r="423" spans="2:13" ht="80.25" customHeight="1" x14ac:dyDescent="0.25">
      <c r="B423" s="19" t="s">
        <v>188</v>
      </c>
      <c r="C423" s="60"/>
      <c r="D423" s="57" t="s">
        <v>6</v>
      </c>
      <c r="E423" s="18" t="s">
        <v>54</v>
      </c>
      <c r="F423" s="17">
        <v>1.8</v>
      </c>
      <c r="G423" s="17" t="s">
        <v>624</v>
      </c>
      <c r="H423" s="17" t="s">
        <v>55</v>
      </c>
      <c r="I423" s="17" t="s">
        <v>56</v>
      </c>
      <c r="J423" s="17">
        <v>2</v>
      </c>
      <c r="K423" s="19">
        <v>2</v>
      </c>
      <c r="L423" s="17" t="s">
        <v>309</v>
      </c>
      <c r="M423" s="21" t="s">
        <v>670</v>
      </c>
    </row>
    <row r="424" spans="2:13" ht="66.75" customHeight="1" x14ac:dyDescent="0.25">
      <c r="B424" s="19" t="s">
        <v>188</v>
      </c>
      <c r="C424" s="60"/>
      <c r="D424" s="57" t="s">
        <v>6</v>
      </c>
      <c r="E424" s="18" t="s">
        <v>57</v>
      </c>
      <c r="F424" s="17">
        <v>1.9</v>
      </c>
      <c r="G424" s="17" t="s">
        <v>58</v>
      </c>
      <c r="H424" s="17" t="s">
        <v>59</v>
      </c>
      <c r="I424" s="17" t="s">
        <v>60</v>
      </c>
      <c r="J424" s="17">
        <v>2</v>
      </c>
      <c r="K424" s="19">
        <v>1</v>
      </c>
      <c r="L424" s="17" t="s">
        <v>310</v>
      </c>
      <c r="M424" s="21"/>
    </row>
    <row r="425" spans="2:13" ht="117.75" customHeight="1" x14ac:dyDescent="0.25">
      <c r="B425" s="19" t="s">
        <v>188</v>
      </c>
      <c r="C425" s="60"/>
      <c r="D425" s="57" t="s">
        <v>6</v>
      </c>
      <c r="E425" s="18" t="s">
        <v>61</v>
      </c>
      <c r="F425" s="17">
        <v>1.9</v>
      </c>
      <c r="G425" s="17" t="s">
        <v>58</v>
      </c>
      <c r="H425" s="17" t="s">
        <v>62</v>
      </c>
      <c r="I425" s="17" t="s">
        <v>63</v>
      </c>
      <c r="J425" s="17">
        <v>1</v>
      </c>
      <c r="K425" s="19">
        <v>2</v>
      </c>
      <c r="L425" s="17" t="s">
        <v>392</v>
      </c>
      <c r="M425" s="21"/>
    </row>
    <row r="426" spans="2:13" ht="67.5" customHeight="1" x14ac:dyDescent="0.25">
      <c r="B426" s="19" t="s">
        <v>188</v>
      </c>
      <c r="C426" s="60"/>
      <c r="D426" s="57" t="s">
        <v>6</v>
      </c>
      <c r="E426" s="18" t="s">
        <v>64</v>
      </c>
      <c r="F426" s="17">
        <v>1.9</v>
      </c>
      <c r="G426" s="17" t="s">
        <v>58</v>
      </c>
      <c r="H426" s="17" t="s">
        <v>65</v>
      </c>
      <c r="I426" s="17" t="s">
        <v>66</v>
      </c>
      <c r="J426" s="17">
        <v>2</v>
      </c>
      <c r="K426" s="19">
        <v>2</v>
      </c>
      <c r="L426" s="17" t="s">
        <v>393</v>
      </c>
      <c r="M426" s="21"/>
    </row>
    <row r="427" spans="2:13" ht="76.5" x14ac:dyDescent="0.25">
      <c r="B427" s="19" t="s">
        <v>188</v>
      </c>
      <c r="C427" s="61"/>
      <c r="D427" s="57" t="s">
        <v>67</v>
      </c>
      <c r="E427" s="18" t="s">
        <v>68</v>
      </c>
      <c r="F427" s="17">
        <v>2.1</v>
      </c>
      <c r="G427" s="17" t="s">
        <v>642</v>
      </c>
      <c r="H427" s="17" t="s">
        <v>69</v>
      </c>
      <c r="I427" s="17" t="s">
        <v>70</v>
      </c>
      <c r="J427" s="17">
        <v>2</v>
      </c>
      <c r="K427" s="19">
        <v>2</v>
      </c>
      <c r="L427" s="17"/>
      <c r="M427" s="17" t="s">
        <v>670</v>
      </c>
    </row>
    <row r="428" spans="2:13" ht="93.75" customHeight="1" x14ac:dyDescent="0.25">
      <c r="B428" s="19" t="s">
        <v>188</v>
      </c>
      <c r="C428" s="61"/>
      <c r="D428" s="57" t="s">
        <v>71</v>
      </c>
      <c r="E428" s="18" t="s">
        <v>72</v>
      </c>
      <c r="F428" s="17">
        <v>2.2000000000000002</v>
      </c>
      <c r="G428" s="17" t="s">
        <v>73</v>
      </c>
      <c r="H428" s="17" t="s">
        <v>74</v>
      </c>
      <c r="I428" s="17" t="s">
        <v>75</v>
      </c>
      <c r="J428" s="17">
        <v>3</v>
      </c>
      <c r="K428" s="19">
        <v>2</v>
      </c>
      <c r="L428" s="17" t="s">
        <v>223</v>
      </c>
      <c r="M428" s="17"/>
    </row>
    <row r="429" spans="2:13" ht="92.25" customHeight="1" x14ac:dyDescent="0.25">
      <c r="B429" s="19" t="s">
        <v>188</v>
      </c>
      <c r="C429" s="61"/>
      <c r="D429" s="57" t="s">
        <v>71</v>
      </c>
      <c r="E429" s="18" t="s">
        <v>76</v>
      </c>
      <c r="F429" s="17">
        <v>2.2999999999999998</v>
      </c>
      <c r="G429" s="17" t="s">
        <v>77</v>
      </c>
      <c r="H429" s="17" t="s">
        <v>78</v>
      </c>
      <c r="I429" s="17" t="s">
        <v>75</v>
      </c>
      <c r="J429" s="17">
        <v>3</v>
      </c>
      <c r="K429" s="19">
        <v>2</v>
      </c>
      <c r="L429" s="17" t="s">
        <v>223</v>
      </c>
      <c r="M429" s="17" t="s">
        <v>426</v>
      </c>
    </row>
    <row r="430" spans="2:13" ht="90.75" customHeight="1" x14ac:dyDescent="0.25">
      <c r="B430" s="19" t="s">
        <v>188</v>
      </c>
      <c r="C430" s="61"/>
      <c r="D430" s="57" t="s">
        <v>71</v>
      </c>
      <c r="E430" s="18" t="s">
        <v>79</v>
      </c>
      <c r="F430" s="17">
        <v>2.4</v>
      </c>
      <c r="G430" s="17" t="s">
        <v>80</v>
      </c>
      <c r="H430" s="17" t="s">
        <v>81</v>
      </c>
      <c r="I430" s="17" t="s">
        <v>75</v>
      </c>
      <c r="J430" s="17">
        <v>3</v>
      </c>
      <c r="K430" s="19">
        <v>3</v>
      </c>
      <c r="L430" s="17" t="s">
        <v>223</v>
      </c>
      <c r="M430" s="17" t="s">
        <v>426</v>
      </c>
    </row>
    <row r="431" spans="2:13" ht="42" customHeight="1" x14ac:dyDescent="0.25">
      <c r="B431" s="19" t="s">
        <v>188</v>
      </c>
      <c r="C431" s="61"/>
      <c r="D431" s="57" t="s">
        <v>67</v>
      </c>
      <c r="E431" s="18" t="s">
        <v>82</v>
      </c>
      <c r="F431" s="17">
        <v>2.5</v>
      </c>
      <c r="G431" s="17" t="s">
        <v>83</v>
      </c>
      <c r="H431" s="17" t="s">
        <v>84</v>
      </c>
      <c r="I431" s="17" t="s">
        <v>85</v>
      </c>
      <c r="J431" s="17">
        <v>1</v>
      </c>
      <c r="K431" s="19">
        <v>0.5</v>
      </c>
      <c r="L431" s="17" t="s">
        <v>613</v>
      </c>
      <c r="M431" s="17" t="s">
        <v>426</v>
      </c>
    </row>
    <row r="432" spans="2:13" ht="51.75" customHeight="1" x14ac:dyDescent="0.25">
      <c r="B432" s="19" t="s">
        <v>188</v>
      </c>
      <c r="C432" s="61"/>
      <c r="D432" s="57" t="s">
        <v>67</v>
      </c>
      <c r="E432" s="18" t="s">
        <v>86</v>
      </c>
      <c r="F432" s="17">
        <v>2.6</v>
      </c>
      <c r="G432" s="17" t="s">
        <v>625</v>
      </c>
      <c r="H432" s="17" t="s">
        <v>87</v>
      </c>
      <c r="I432" s="17" t="s">
        <v>88</v>
      </c>
      <c r="J432" s="17">
        <v>2</v>
      </c>
      <c r="K432" s="19">
        <v>2</v>
      </c>
      <c r="L432" s="26"/>
      <c r="M432" s="17"/>
    </row>
    <row r="433" spans="2:13" ht="65.25" customHeight="1" x14ac:dyDescent="0.25">
      <c r="B433" s="19" t="s">
        <v>188</v>
      </c>
      <c r="C433" s="61"/>
      <c r="D433" s="57" t="s">
        <v>67</v>
      </c>
      <c r="E433" s="18" t="s">
        <v>89</v>
      </c>
      <c r="F433" s="17">
        <v>2.6</v>
      </c>
      <c r="G433" s="17" t="s">
        <v>625</v>
      </c>
      <c r="H433" s="17" t="s">
        <v>90</v>
      </c>
      <c r="I433" s="17" t="s">
        <v>91</v>
      </c>
      <c r="J433" s="17">
        <v>1</v>
      </c>
      <c r="K433" s="19"/>
      <c r="L433" s="17"/>
      <c r="M433" s="17"/>
    </row>
    <row r="434" spans="2:13" ht="40.5" customHeight="1" x14ac:dyDescent="0.25">
      <c r="B434" s="19" t="s">
        <v>188</v>
      </c>
      <c r="C434" s="61"/>
      <c r="D434" s="57" t="s">
        <v>92</v>
      </c>
      <c r="E434" s="18" t="s">
        <v>93</v>
      </c>
      <c r="F434" s="17">
        <v>2.7</v>
      </c>
      <c r="G434" s="17" t="s">
        <v>626</v>
      </c>
      <c r="H434" s="17" t="s">
        <v>94</v>
      </c>
      <c r="I434" s="17" t="s">
        <v>85</v>
      </c>
      <c r="J434" s="17">
        <v>1</v>
      </c>
      <c r="K434" s="19">
        <v>0.5</v>
      </c>
      <c r="L434" s="17" t="s">
        <v>449</v>
      </c>
      <c r="M434" s="17"/>
    </row>
    <row r="435" spans="2:13" ht="102" x14ac:dyDescent="0.25">
      <c r="B435" s="19" t="s">
        <v>188</v>
      </c>
      <c r="C435" s="61"/>
      <c r="D435" s="57" t="s">
        <v>92</v>
      </c>
      <c r="E435" s="18" t="s">
        <v>95</v>
      </c>
      <c r="F435" s="17">
        <v>2.8</v>
      </c>
      <c r="G435" s="17" t="s">
        <v>96</v>
      </c>
      <c r="H435" s="17" t="s">
        <v>97</v>
      </c>
      <c r="I435" s="17" t="s">
        <v>98</v>
      </c>
      <c r="J435" s="17">
        <v>3</v>
      </c>
      <c r="K435" s="19">
        <v>3</v>
      </c>
      <c r="L435" s="17"/>
      <c r="M435" s="17" t="s">
        <v>450</v>
      </c>
    </row>
    <row r="436" spans="2:13" ht="51" customHeight="1" x14ac:dyDescent="0.25">
      <c r="B436" s="19" t="s">
        <v>188</v>
      </c>
      <c r="C436" s="61"/>
      <c r="D436" s="57" t="s">
        <v>92</v>
      </c>
      <c r="E436" s="18" t="s">
        <v>99</v>
      </c>
      <c r="F436" s="17">
        <v>2.9</v>
      </c>
      <c r="G436" s="17" t="s">
        <v>100</v>
      </c>
      <c r="H436" s="17" t="s">
        <v>101</v>
      </c>
      <c r="I436" s="17" t="s">
        <v>85</v>
      </c>
      <c r="J436" s="17">
        <v>1</v>
      </c>
      <c r="K436" s="19">
        <v>1</v>
      </c>
      <c r="L436" s="17" t="s">
        <v>451</v>
      </c>
      <c r="M436" s="17" t="s">
        <v>454</v>
      </c>
    </row>
    <row r="437" spans="2:13" ht="50.25" customHeight="1" x14ac:dyDescent="0.25">
      <c r="B437" s="19" t="s">
        <v>188</v>
      </c>
      <c r="C437" s="61"/>
      <c r="D437" s="57" t="s">
        <v>92</v>
      </c>
      <c r="E437" s="18" t="s">
        <v>102</v>
      </c>
      <c r="F437" s="17">
        <v>2.9</v>
      </c>
      <c r="G437" s="17" t="s">
        <v>100</v>
      </c>
      <c r="H437" s="17" t="s">
        <v>103</v>
      </c>
      <c r="I437" s="17" t="s">
        <v>85</v>
      </c>
      <c r="J437" s="17">
        <v>1</v>
      </c>
      <c r="K437" s="19">
        <v>0</v>
      </c>
      <c r="L437" s="17"/>
      <c r="M437" s="17" t="s">
        <v>453</v>
      </c>
    </row>
    <row r="438" spans="2:13" ht="53.25" customHeight="1" x14ac:dyDescent="0.25">
      <c r="B438" s="19" t="s">
        <v>188</v>
      </c>
      <c r="C438" s="61"/>
      <c r="D438" s="57" t="s">
        <v>92</v>
      </c>
      <c r="E438" s="18" t="s">
        <v>104</v>
      </c>
      <c r="F438" s="17">
        <v>2.9</v>
      </c>
      <c r="G438" s="17" t="s">
        <v>100</v>
      </c>
      <c r="H438" s="17" t="s">
        <v>105</v>
      </c>
      <c r="I438" s="17" t="s">
        <v>85</v>
      </c>
      <c r="J438" s="17">
        <v>1</v>
      </c>
      <c r="K438" s="19">
        <v>0.5</v>
      </c>
      <c r="L438" s="17" t="s">
        <v>452</v>
      </c>
      <c r="M438" s="17" t="s">
        <v>453</v>
      </c>
    </row>
    <row r="439" spans="2:13" ht="42" customHeight="1" x14ac:dyDescent="0.25">
      <c r="B439" s="19" t="s">
        <v>188</v>
      </c>
      <c r="C439" s="62"/>
      <c r="D439" s="57" t="s">
        <v>106</v>
      </c>
      <c r="E439" s="18" t="s">
        <v>107</v>
      </c>
      <c r="F439" s="17">
        <v>3.1</v>
      </c>
      <c r="G439" s="17" t="s">
        <v>108</v>
      </c>
      <c r="H439" s="17" t="s">
        <v>109</v>
      </c>
      <c r="I439" s="17" t="s">
        <v>110</v>
      </c>
      <c r="J439" s="17">
        <v>1</v>
      </c>
      <c r="K439" s="19">
        <v>1</v>
      </c>
      <c r="L439" s="17"/>
      <c r="M439" s="17" t="s">
        <v>426</v>
      </c>
    </row>
    <row r="440" spans="2:13" ht="216.75" x14ac:dyDescent="0.25">
      <c r="B440" s="19" t="s">
        <v>188</v>
      </c>
      <c r="C440" s="62"/>
      <c r="D440" s="57" t="s">
        <v>111</v>
      </c>
      <c r="E440" s="18" t="s">
        <v>112</v>
      </c>
      <c r="F440" s="17">
        <v>3.2</v>
      </c>
      <c r="G440" s="17" t="s">
        <v>113</v>
      </c>
      <c r="H440" s="17" t="s">
        <v>114</v>
      </c>
      <c r="I440" s="17" t="s">
        <v>115</v>
      </c>
      <c r="J440" s="17">
        <v>1</v>
      </c>
      <c r="K440" s="19">
        <v>1</v>
      </c>
      <c r="L440" s="17" t="s">
        <v>513</v>
      </c>
      <c r="M440" s="17" t="s">
        <v>514</v>
      </c>
    </row>
    <row r="441" spans="2:13" ht="53.25" customHeight="1" x14ac:dyDescent="0.25">
      <c r="B441" s="19" t="s">
        <v>188</v>
      </c>
      <c r="C441" s="62"/>
      <c r="D441" s="57" t="s">
        <v>111</v>
      </c>
      <c r="E441" s="18" t="s">
        <v>116</v>
      </c>
      <c r="F441" s="17">
        <v>3.2</v>
      </c>
      <c r="G441" s="17" t="s">
        <v>113</v>
      </c>
      <c r="H441" s="17" t="s">
        <v>117</v>
      </c>
      <c r="I441" s="17" t="s">
        <v>115</v>
      </c>
      <c r="J441" s="17">
        <v>1</v>
      </c>
      <c r="K441" s="19">
        <v>0</v>
      </c>
      <c r="L441" s="17"/>
      <c r="M441" s="17" t="s">
        <v>514</v>
      </c>
    </row>
    <row r="442" spans="2:13" ht="53.25" customHeight="1" x14ac:dyDescent="0.25">
      <c r="B442" s="19" t="s">
        <v>188</v>
      </c>
      <c r="C442" s="62"/>
      <c r="D442" s="57" t="s">
        <v>111</v>
      </c>
      <c r="E442" s="18" t="s">
        <v>118</v>
      </c>
      <c r="F442" s="17">
        <v>3.2</v>
      </c>
      <c r="G442" s="17" t="s">
        <v>113</v>
      </c>
      <c r="H442" s="17" t="s">
        <v>119</v>
      </c>
      <c r="I442" s="17" t="s">
        <v>115</v>
      </c>
      <c r="J442" s="17">
        <v>1</v>
      </c>
      <c r="K442" s="19">
        <v>0</v>
      </c>
      <c r="L442" s="17"/>
      <c r="M442" s="17" t="s">
        <v>514</v>
      </c>
    </row>
    <row r="443" spans="2:13" ht="147" customHeight="1" x14ac:dyDescent="0.25">
      <c r="B443" s="19" t="s">
        <v>188</v>
      </c>
      <c r="C443" s="62"/>
      <c r="D443" s="57" t="s">
        <v>111</v>
      </c>
      <c r="E443" s="18" t="s">
        <v>120</v>
      </c>
      <c r="F443" s="17">
        <v>3.3</v>
      </c>
      <c r="G443" s="17" t="s">
        <v>627</v>
      </c>
      <c r="H443" s="17" t="s">
        <v>121</v>
      </c>
      <c r="I443" s="17" t="s">
        <v>122</v>
      </c>
      <c r="J443" s="17">
        <v>1</v>
      </c>
      <c r="K443" s="19">
        <v>1</v>
      </c>
      <c r="L443" s="17" t="s">
        <v>515</v>
      </c>
      <c r="M443" s="17" t="s">
        <v>514</v>
      </c>
    </row>
    <row r="444" spans="2:13" ht="53.25" customHeight="1" x14ac:dyDescent="0.25">
      <c r="B444" s="19" t="s">
        <v>188</v>
      </c>
      <c r="C444" s="62"/>
      <c r="D444" s="57" t="s">
        <v>111</v>
      </c>
      <c r="E444" s="18" t="s">
        <v>123</v>
      </c>
      <c r="F444" s="17">
        <v>3.4</v>
      </c>
      <c r="G444" s="17" t="s">
        <v>628</v>
      </c>
      <c r="H444" s="17" t="s">
        <v>124</v>
      </c>
      <c r="I444" s="17" t="s">
        <v>115</v>
      </c>
      <c r="J444" s="17">
        <v>1</v>
      </c>
      <c r="K444" s="19">
        <v>0</v>
      </c>
      <c r="L444" s="17" t="s">
        <v>516</v>
      </c>
      <c r="M444" s="17" t="s">
        <v>426</v>
      </c>
    </row>
    <row r="445" spans="2:13" ht="93" customHeight="1" x14ac:dyDescent="0.25">
      <c r="B445" s="19" t="s">
        <v>188</v>
      </c>
      <c r="C445" s="62"/>
      <c r="D445" s="57" t="s">
        <v>125</v>
      </c>
      <c r="E445" s="18" t="s">
        <v>126</v>
      </c>
      <c r="F445" s="17">
        <v>3.5</v>
      </c>
      <c r="G445" s="17" t="s">
        <v>127</v>
      </c>
      <c r="H445" s="17" t="s">
        <v>128</v>
      </c>
      <c r="I445" s="17" t="s">
        <v>129</v>
      </c>
      <c r="J445" s="17">
        <v>1</v>
      </c>
      <c r="K445" s="19">
        <v>1</v>
      </c>
      <c r="L445" s="17" t="s">
        <v>517</v>
      </c>
      <c r="M445" s="17" t="s">
        <v>454</v>
      </c>
    </row>
    <row r="446" spans="2:13" ht="51" customHeight="1" x14ac:dyDescent="0.25">
      <c r="B446" s="19" t="s">
        <v>188</v>
      </c>
      <c r="C446" s="62"/>
      <c r="D446" s="57" t="s">
        <v>130</v>
      </c>
      <c r="E446" s="18" t="s">
        <v>131</v>
      </c>
      <c r="F446" s="17">
        <v>3.6</v>
      </c>
      <c r="G446" s="17" t="s">
        <v>255</v>
      </c>
      <c r="H446" s="17" t="s">
        <v>132</v>
      </c>
      <c r="I446" s="17" t="s">
        <v>115</v>
      </c>
      <c r="J446" s="17">
        <v>1</v>
      </c>
      <c r="K446" s="19">
        <v>0</v>
      </c>
      <c r="L446" s="17"/>
      <c r="M446" s="17" t="s">
        <v>454</v>
      </c>
    </row>
    <row r="447" spans="2:13" ht="51" customHeight="1" x14ac:dyDescent="0.25">
      <c r="B447" s="19" t="s">
        <v>188</v>
      </c>
      <c r="C447" s="62"/>
      <c r="D447" s="57" t="s">
        <v>130</v>
      </c>
      <c r="E447" s="18" t="s">
        <v>133</v>
      </c>
      <c r="F447" s="17">
        <v>3.7</v>
      </c>
      <c r="G447" s="17" t="s">
        <v>260</v>
      </c>
      <c r="H447" s="17" t="s">
        <v>134</v>
      </c>
      <c r="I447" s="17" t="s">
        <v>135</v>
      </c>
      <c r="J447" s="17">
        <v>1</v>
      </c>
      <c r="K447" s="19">
        <v>1</v>
      </c>
      <c r="L447" s="17"/>
      <c r="M447" s="17" t="s">
        <v>454</v>
      </c>
    </row>
    <row r="448" spans="2:13" ht="53.25" customHeight="1" x14ac:dyDescent="0.25">
      <c r="B448" s="19" t="s">
        <v>188</v>
      </c>
      <c r="C448" s="63"/>
      <c r="D448" s="57" t="s">
        <v>136</v>
      </c>
      <c r="E448" s="18" t="s">
        <v>137</v>
      </c>
      <c r="F448" s="17">
        <v>4.0999999999999996</v>
      </c>
      <c r="G448" s="17" t="s">
        <v>629</v>
      </c>
      <c r="H448" s="17" t="s">
        <v>138</v>
      </c>
      <c r="I448" s="17" t="s">
        <v>85</v>
      </c>
      <c r="J448" s="17">
        <v>1</v>
      </c>
      <c r="K448" s="19">
        <v>0</v>
      </c>
      <c r="L448" s="17"/>
      <c r="M448" s="17" t="s">
        <v>426</v>
      </c>
    </row>
    <row r="449" spans="2:13" ht="51" x14ac:dyDescent="0.25">
      <c r="B449" s="19" t="s">
        <v>188</v>
      </c>
      <c r="C449" s="63"/>
      <c r="D449" s="57" t="s">
        <v>139</v>
      </c>
      <c r="E449" s="18" t="s">
        <v>140</v>
      </c>
      <c r="F449" s="17">
        <v>4.2</v>
      </c>
      <c r="G449" s="17" t="s">
        <v>630</v>
      </c>
      <c r="H449" s="17" t="s">
        <v>141</v>
      </c>
      <c r="I449" s="17" t="s">
        <v>142</v>
      </c>
      <c r="J449" s="17">
        <v>2</v>
      </c>
      <c r="K449" s="19">
        <v>0</v>
      </c>
      <c r="L449" s="17"/>
      <c r="M449" s="17" t="s">
        <v>426</v>
      </c>
    </row>
    <row r="450" spans="2:13" ht="50.25" customHeight="1" x14ac:dyDescent="0.25">
      <c r="B450" s="19" t="s">
        <v>188</v>
      </c>
      <c r="C450" s="63"/>
      <c r="D450" s="57" t="s">
        <v>139</v>
      </c>
      <c r="E450" s="18" t="s">
        <v>143</v>
      </c>
      <c r="F450" s="17">
        <v>4.3</v>
      </c>
      <c r="G450" s="17" t="s">
        <v>631</v>
      </c>
      <c r="H450" s="17" t="s">
        <v>144</v>
      </c>
      <c r="I450" s="17" t="s">
        <v>142</v>
      </c>
      <c r="J450" s="17">
        <v>2</v>
      </c>
      <c r="K450" s="19">
        <v>1</v>
      </c>
      <c r="L450" s="17"/>
      <c r="M450" s="17" t="s">
        <v>426</v>
      </c>
    </row>
    <row r="451" spans="2:13" ht="133.5" customHeight="1" x14ac:dyDescent="0.25">
      <c r="B451" s="19" t="s">
        <v>188</v>
      </c>
      <c r="C451" s="63"/>
      <c r="D451" s="57" t="s">
        <v>139</v>
      </c>
      <c r="E451" s="18" t="s">
        <v>145</v>
      </c>
      <c r="F451" s="17">
        <v>4.4000000000000004</v>
      </c>
      <c r="G451" s="17" t="s">
        <v>632</v>
      </c>
      <c r="H451" s="17" t="s">
        <v>146</v>
      </c>
      <c r="I451" s="17" t="s">
        <v>147</v>
      </c>
      <c r="J451" s="17">
        <v>7</v>
      </c>
      <c r="K451" s="19">
        <v>1</v>
      </c>
      <c r="L451" s="17" t="s">
        <v>565</v>
      </c>
      <c r="M451" s="17" t="s">
        <v>426</v>
      </c>
    </row>
    <row r="452" spans="2:13" ht="51" customHeight="1" x14ac:dyDescent="0.25">
      <c r="B452" s="19" t="s">
        <v>188</v>
      </c>
      <c r="C452" s="63"/>
      <c r="D452" s="57" t="s">
        <v>148</v>
      </c>
      <c r="E452" s="18" t="s">
        <v>149</v>
      </c>
      <c r="F452" s="17">
        <v>4.5</v>
      </c>
      <c r="G452" s="17" t="s">
        <v>633</v>
      </c>
      <c r="H452" s="17" t="s">
        <v>150</v>
      </c>
      <c r="I452" s="17" t="s">
        <v>115</v>
      </c>
      <c r="J452" s="17">
        <v>1</v>
      </c>
      <c r="K452" s="19">
        <v>1</v>
      </c>
      <c r="L452" s="17" t="s">
        <v>564</v>
      </c>
      <c r="M452" s="17" t="s">
        <v>426</v>
      </c>
    </row>
    <row r="453" spans="2:13" ht="52.5" customHeight="1" x14ac:dyDescent="0.25">
      <c r="B453" s="19" t="s">
        <v>188</v>
      </c>
      <c r="C453" s="63"/>
      <c r="D453" s="57" t="s">
        <v>148</v>
      </c>
      <c r="E453" s="18" t="s">
        <v>151</v>
      </c>
      <c r="F453" s="17">
        <v>4.5999999999999996</v>
      </c>
      <c r="G453" s="17" t="s">
        <v>634</v>
      </c>
      <c r="H453" s="17" t="s">
        <v>152</v>
      </c>
      <c r="I453" s="17" t="s">
        <v>85</v>
      </c>
      <c r="J453" s="17">
        <v>1</v>
      </c>
      <c r="K453" s="19">
        <v>0</v>
      </c>
      <c r="L453" s="17"/>
      <c r="M453" s="17" t="s">
        <v>426</v>
      </c>
    </row>
    <row r="454" spans="2:13" ht="51.75" customHeight="1" x14ac:dyDescent="0.25">
      <c r="B454" s="19" t="s">
        <v>188</v>
      </c>
      <c r="C454" s="63"/>
      <c r="D454" s="57" t="s">
        <v>148</v>
      </c>
      <c r="E454" s="18" t="s">
        <v>153</v>
      </c>
      <c r="F454" s="17">
        <v>4.7</v>
      </c>
      <c r="G454" s="17" t="s">
        <v>635</v>
      </c>
      <c r="H454" s="17" t="s">
        <v>154</v>
      </c>
      <c r="I454" s="17" t="s">
        <v>85</v>
      </c>
      <c r="J454" s="17">
        <v>1</v>
      </c>
      <c r="K454" s="19">
        <v>0.5</v>
      </c>
      <c r="L454" s="17" t="s">
        <v>566</v>
      </c>
      <c r="M454" s="17" t="s">
        <v>426</v>
      </c>
    </row>
    <row r="455" spans="2:13" ht="50.25" customHeight="1" x14ac:dyDescent="0.25">
      <c r="B455" s="19" t="s">
        <v>188</v>
      </c>
      <c r="C455" s="63"/>
      <c r="D455" s="57" t="s">
        <v>148</v>
      </c>
      <c r="E455" s="18" t="s">
        <v>155</v>
      </c>
      <c r="F455" s="17">
        <v>4.8</v>
      </c>
      <c r="G455" s="17" t="s">
        <v>156</v>
      </c>
      <c r="H455" s="17" t="s">
        <v>157</v>
      </c>
      <c r="I455" s="17" t="s">
        <v>85</v>
      </c>
      <c r="J455" s="17">
        <v>1</v>
      </c>
      <c r="K455" s="19">
        <v>0.5</v>
      </c>
      <c r="L455" s="17" t="s">
        <v>567</v>
      </c>
      <c r="M455" s="17" t="s">
        <v>426</v>
      </c>
    </row>
    <row r="456" spans="2:13" ht="25.5" x14ac:dyDescent="0.25">
      <c r="B456" s="19" t="s">
        <v>188</v>
      </c>
      <c r="C456" s="63"/>
      <c r="D456" s="57" t="s">
        <v>136</v>
      </c>
      <c r="E456" s="18" t="s">
        <v>158</v>
      </c>
      <c r="F456" s="17">
        <v>4.9000000000000004</v>
      </c>
      <c r="G456" s="17" t="s">
        <v>636</v>
      </c>
      <c r="H456" s="17" t="s">
        <v>159</v>
      </c>
      <c r="I456" s="17" t="s">
        <v>85</v>
      </c>
      <c r="J456" s="17">
        <v>1</v>
      </c>
      <c r="K456" s="19">
        <v>1</v>
      </c>
      <c r="L456" s="17" t="s">
        <v>568</v>
      </c>
      <c r="M456" s="17" t="s">
        <v>426</v>
      </c>
    </row>
    <row r="457" spans="2:13" ht="25.5" x14ac:dyDescent="0.25">
      <c r="B457" s="19" t="s">
        <v>188</v>
      </c>
      <c r="C457" s="63"/>
      <c r="D457" s="57" t="s">
        <v>136</v>
      </c>
      <c r="E457" s="18" t="s">
        <v>160</v>
      </c>
      <c r="F457" s="27">
        <v>4.0999999999999996</v>
      </c>
      <c r="G457" s="17" t="s">
        <v>637</v>
      </c>
      <c r="H457" s="17" t="s">
        <v>161</v>
      </c>
      <c r="I457" s="17" t="s">
        <v>85</v>
      </c>
      <c r="J457" s="17">
        <v>1</v>
      </c>
      <c r="K457" s="19">
        <v>0.5</v>
      </c>
      <c r="L457" s="17"/>
      <c r="M457" s="17" t="s">
        <v>426</v>
      </c>
    </row>
    <row r="458" spans="2:13" ht="66" customHeight="1" x14ac:dyDescent="0.25">
      <c r="B458" s="19" t="s">
        <v>188</v>
      </c>
      <c r="C458" s="63"/>
      <c r="D458" s="57" t="s">
        <v>136</v>
      </c>
      <c r="E458" s="18" t="s">
        <v>162</v>
      </c>
      <c r="F458" s="17">
        <v>4.1100000000000003</v>
      </c>
      <c r="G458" s="17" t="s">
        <v>638</v>
      </c>
      <c r="H458" s="17" t="s">
        <v>163</v>
      </c>
      <c r="I458" s="17" t="s">
        <v>85</v>
      </c>
      <c r="J458" s="17">
        <v>1</v>
      </c>
      <c r="K458" s="19">
        <v>0</v>
      </c>
      <c r="L458" s="17"/>
      <c r="M458" s="17" t="s">
        <v>426</v>
      </c>
    </row>
    <row r="459" spans="2:13" ht="54.75" customHeight="1" x14ac:dyDescent="0.25">
      <c r="B459" s="19" t="s">
        <v>188</v>
      </c>
      <c r="C459" s="63"/>
      <c r="D459" s="57" t="s">
        <v>136</v>
      </c>
      <c r="E459" s="18" t="s">
        <v>164</v>
      </c>
      <c r="F459" s="17">
        <v>4.12</v>
      </c>
      <c r="G459" s="17" t="s">
        <v>639</v>
      </c>
      <c r="H459" s="17" t="s">
        <v>165</v>
      </c>
      <c r="I459" s="17" t="s">
        <v>85</v>
      </c>
      <c r="J459" s="17">
        <v>1</v>
      </c>
      <c r="K459" s="19">
        <v>1</v>
      </c>
      <c r="L459" s="17" t="s">
        <v>569</v>
      </c>
      <c r="M459" s="17" t="s">
        <v>570</v>
      </c>
    </row>
    <row r="460" spans="2:13" ht="39" thickBot="1" x14ac:dyDescent="0.3">
      <c r="B460" s="69" t="s">
        <v>188</v>
      </c>
      <c r="C460" s="70"/>
      <c r="D460" s="71" t="s">
        <v>136</v>
      </c>
      <c r="E460" s="72" t="s">
        <v>166</v>
      </c>
      <c r="F460" s="73">
        <v>4.13</v>
      </c>
      <c r="G460" s="73" t="s">
        <v>640</v>
      </c>
      <c r="H460" s="73" t="s">
        <v>167</v>
      </c>
      <c r="I460" s="73" t="s">
        <v>85</v>
      </c>
      <c r="J460" s="73">
        <v>1</v>
      </c>
      <c r="K460" s="69">
        <v>0</v>
      </c>
      <c r="L460" s="73"/>
      <c r="M460" s="73" t="s">
        <v>426</v>
      </c>
    </row>
    <row r="461" spans="2:13" ht="51.75" thickTop="1" x14ac:dyDescent="0.25">
      <c r="B461" s="52" t="s">
        <v>186</v>
      </c>
      <c r="C461" s="65"/>
      <c r="D461" s="59" t="s">
        <v>6</v>
      </c>
      <c r="E461" s="51" t="s">
        <v>7</v>
      </c>
      <c r="F461" s="50">
        <v>1.1000000000000001</v>
      </c>
      <c r="G461" s="50" t="s">
        <v>618</v>
      </c>
      <c r="H461" s="50" t="s">
        <v>8</v>
      </c>
      <c r="I461" s="50" t="s">
        <v>9</v>
      </c>
      <c r="J461" s="50">
        <v>2</v>
      </c>
      <c r="K461" s="81">
        <v>2</v>
      </c>
      <c r="L461" s="82"/>
      <c r="M461" s="83"/>
    </row>
    <row r="462" spans="2:13" ht="51" x14ac:dyDescent="0.25">
      <c r="B462" s="19" t="s">
        <v>186</v>
      </c>
      <c r="C462" s="60"/>
      <c r="D462" s="57" t="s">
        <v>6</v>
      </c>
      <c r="E462" s="18" t="s">
        <v>10</v>
      </c>
      <c r="F462" s="17">
        <v>1.1000000000000001</v>
      </c>
      <c r="G462" s="17" t="s">
        <v>618</v>
      </c>
      <c r="H462" s="17" t="s">
        <v>11</v>
      </c>
      <c r="I462" s="17" t="s">
        <v>9</v>
      </c>
      <c r="J462" s="17">
        <v>2</v>
      </c>
      <c r="K462" s="43">
        <v>2</v>
      </c>
      <c r="L462" s="44"/>
      <c r="M462" s="45"/>
    </row>
    <row r="463" spans="2:13" ht="66" customHeight="1" x14ac:dyDescent="0.25">
      <c r="B463" s="19" t="s">
        <v>186</v>
      </c>
      <c r="C463" s="60"/>
      <c r="D463" s="57" t="s">
        <v>6</v>
      </c>
      <c r="E463" s="18" t="s">
        <v>12</v>
      </c>
      <c r="F463" s="17">
        <v>1.1000000000000001</v>
      </c>
      <c r="G463" s="17" t="s">
        <v>618</v>
      </c>
      <c r="H463" s="17" t="s">
        <v>13</v>
      </c>
      <c r="I463" s="17" t="s">
        <v>9</v>
      </c>
      <c r="J463" s="17">
        <v>2</v>
      </c>
      <c r="K463" s="43">
        <v>1</v>
      </c>
      <c r="L463" s="44" t="s">
        <v>396</v>
      </c>
      <c r="M463" s="45" t="s">
        <v>679</v>
      </c>
    </row>
    <row r="464" spans="2:13" ht="89.25" x14ac:dyDescent="0.25">
      <c r="B464" s="19" t="s">
        <v>186</v>
      </c>
      <c r="C464" s="60"/>
      <c r="D464" s="57" t="s">
        <v>6</v>
      </c>
      <c r="E464" s="18" t="s">
        <v>14</v>
      </c>
      <c r="F464" s="17">
        <v>1.2</v>
      </c>
      <c r="G464" s="17" t="s">
        <v>619</v>
      </c>
      <c r="H464" s="17" t="s">
        <v>15</v>
      </c>
      <c r="I464" s="17" t="s">
        <v>16</v>
      </c>
      <c r="J464" s="17">
        <v>3</v>
      </c>
      <c r="K464" s="43">
        <v>3</v>
      </c>
      <c r="L464" s="44"/>
      <c r="M464" s="45" t="s">
        <v>679</v>
      </c>
    </row>
    <row r="465" spans="2:13" ht="89.25" x14ac:dyDescent="0.25">
      <c r="B465" s="19" t="s">
        <v>186</v>
      </c>
      <c r="C465" s="60"/>
      <c r="D465" s="57" t="s">
        <v>6</v>
      </c>
      <c r="E465" s="18" t="s">
        <v>17</v>
      </c>
      <c r="F465" s="17">
        <v>1.2</v>
      </c>
      <c r="G465" s="17" t="s">
        <v>619</v>
      </c>
      <c r="H465" s="17" t="s">
        <v>18</v>
      </c>
      <c r="I465" s="17" t="s">
        <v>16</v>
      </c>
      <c r="J465" s="17">
        <v>3</v>
      </c>
      <c r="K465" s="43">
        <v>3</v>
      </c>
      <c r="L465" s="44"/>
      <c r="M465" s="45" t="s">
        <v>679</v>
      </c>
    </row>
    <row r="466" spans="2:13" ht="89.25" x14ac:dyDescent="0.25">
      <c r="B466" s="19" t="s">
        <v>186</v>
      </c>
      <c r="C466" s="60"/>
      <c r="D466" s="57" t="s">
        <v>6</v>
      </c>
      <c r="E466" s="18" t="s">
        <v>19</v>
      </c>
      <c r="F466" s="17">
        <v>1.2</v>
      </c>
      <c r="G466" s="17" t="s">
        <v>619</v>
      </c>
      <c r="H466" s="17" t="s">
        <v>20</v>
      </c>
      <c r="I466" s="17" t="s">
        <v>16</v>
      </c>
      <c r="J466" s="17">
        <v>3</v>
      </c>
      <c r="K466" s="43">
        <v>3</v>
      </c>
      <c r="L466" s="44"/>
      <c r="M466" s="45" t="s">
        <v>679</v>
      </c>
    </row>
    <row r="467" spans="2:13" ht="54" customHeight="1" x14ac:dyDescent="0.25">
      <c r="B467" s="19" t="s">
        <v>186</v>
      </c>
      <c r="C467" s="60"/>
      <c r="D467" s="57" t="s">
        <v>6</v>
      </c>
      <c r="E467" s="18" t="s">
        <v>21</v>
      </c>
      <c r="F467" s="17">
        <v>1.3</v>
      </c>
      <c r="G467" s="17" t="s">
        <v>620</v>
      </c>
      <c r="H467" s="17" t="s">
        <v>22</v>
      </c>
      <c r="I467" s="17" t="s">
        <v>23</v>
      </c>
      <c r="J467" s="17">
        <v>2</v>
      </c>
      <c r="K467" s="43">
        <v>2</v>
      </c>
      <c r="L467" s="44"/>
      <c r="M467" s="45" t="s">
        <v>680</v>
      </c>
    </row>
    <row r="468" spans="2:13" ht="82.5" customHeight="1" x14ac:dyDescent="0.25">
      <c r="B468" s="19" t="s">
        <v>186</v>
      </c>
      <c r="C468" s="60"/>
      <c r="D468" s="57" t="s">
        <v>6</v>
      </c>
      <c r="E468" s="18" t="s">
        <v>24</v>
      </c>
      <c r="F468" s="17">
        <v>1.4</v>
      </c>
      <c r="G468" s="17" t="s">
        <v>641</v>
      </c>
      <c r="H468" s="17" t="s">
        <v>25</v>
      </c>
      <c r="I468" s="17" t="s">
        <v>26</v>
      </c>
      <c r="J468" s="17">
        <v>2</v>
      </c>
      <c r="K468" s="43">
        <v>1</v>
      </c>
      <c r="L468" s="44" t="s">
        <v>397</v>
      </c>
      <c r="M468" s="45" t="s">
        <v>679</v>
      </c>
    </row>
    <row r="469" spans="2:13" ht="89.25" x14ac:dyDescent="0.25">
      <c r="B469" s="19" t="s">
        <v>186</v>
      </c>
      <c r="C469" s="60"/>
      <c r="D469" s="57" t="s">
        <v>6</v>
      </c>
      <c r="E469" s="18" t="s">
        <v>27</v>
      </c>
      <c r="F469" s="17">
        <v>1.5</v>
      </c>
      <c r="G469" s="17" t="s">
        <v>641</v>
      </c>
      <c r="H469" s="17" t="s">
        <v>28</v>
      </c>
      <c r="I469" s="17" t="s">
        <v>29</v>
      </c>
      <c r="J469" s="17">
        <v>3</v>
      </c>
      <c r="K469" s="43">
        <v>3</v>
      </c>
      <c r="L469" s="44" t="s">
        <v>398</v>
      </c>
      <c r="M469" s="45" t="s">
        <v>681</v>
      </c>
    </row>
    <row r="470" spans="2:13" ht="89.25" x14ac:dyDescent="0.25">
      <c r="B470" s="19" t="s">
        <v>186</v>
      </c>
      <c r="C470" s="60"/>
      <c r="D470" s="57" t="s">
        <v>6</v>
      </c>
      <c r="E470" s="18" t="s">
        <v>30</v>
      </c>
      <c r="F470" s="17">
        <v>1.5</v>
      </c>
      <c r="G470" s="17" t="s">
        <v>641</v>
      </c>
      <c r="H470" s="17" t="s">
        <v>31</v>
      </c>
      <c r="I470" s="17" t="s">
        <v>29</v>
      </c>
      <c r="J470" s="17">
        <v>3</v>
      </c>
      <c r="K470" s="43">
        <v>3</v>
      </c>
      <c r="L470" s="44" t="s">
        <v>399</v>
      </c>
      <c r="M470" s="45" t="s">
        <v>681</v>
      </c>
    </row>
    <row r="471" spans="2:13" ht="89.25" x14ac:dyDescent="0.25">
      <c r="B471" s="19" t="s">
        <v>186</v>
      </c>
      <c r="C471" s="60"/>
      <c r="D471" s="57" t="s">
        <v>6</v>
      </c>
      <c r="E471" s="18" t="s">
        <v>32</v>
      </c>
      <c r="F471" s="17">
        <v>1.5</v>
      </c>
      <c r="G471" s="17" t="s">
        <v>621</v>
      </c>
      <c r="H471" s="17" t="s">
        <v>33</v>
      </c>
      <c r="I471" s="17" t="s">
        <v>29</v>
      </c>
      <c r="J471" s="17">
        <v>3</v>
      </c>
      <c r="K471" s="43">
        <v>3</v>
      </c>
      <c r="L471" s="44" t="s">
        <v>399</v>
      </c>
      <c r="M471" s="45" t="s">
        <v>681</v>
      </c>
    </row>
    <row r="472" spans="2:13" ht="90" customHeight="1" x14ac:dyDescent="0.25">
      <c r="B472" s="19" t="s">
        <v>186</v>
      </c>
      <c r="C472" s="60"/>
      <c r="D472" s="57" t="s">
        <v>6</v>
      </c>
      <c r="E472" s="18" t="s">
        <v>34</v>
      </c>
      <c r="F472" s="17">
        <v>1.6</v>
      </c>
      <c r="G472" s="17" t="s">
        <v>622</v>
      </c>
      <c r="H472" s="17" t="s">
        <v>35</v>
      </c>
      <c r="I472" s="17" t="s">
        <v>36</v>
      </c>
      <c r="J472" s="17">
        <v>3</v>
      </c>
      <c r="K472" s="43">
        <v>2</v>
      </c>
      <c r="L472" s="44" t="s">
        <v>400</v>
      </c>
      <c r="M472" s="45" t="s">
        <v>680</v>
      </c>
    </row>
    <row r="473" spans="2:13" ht="93" customHeight="1" x14ac:dyDescent="0.25">
      <c r="B473" s="19" t="s">
        <v>186</v>
      </c>
      <c r="C473" s="60"/>
      <c r="D473" s="57" t="s">
        <v>6</v>
      </c>
      <c r="E473" s="18" t="s">
        <v>37</v>
      </c>
      <c r="F473" s="17">
        <v>1.6</v>
      </c>
      <c r="G473" s="17" t="s">
        <v>622</v>
      </c>
      <c r="H473" s="17" t="s">
        <v>38</v>
      </c>
      <c r="I473" s="17" t="s">
        <v>36</v>
      </c>
      <c r="J473" s="17">
        <v>3</v>
      </c>
      <c r="K473" s="43">
        <v>2</v>
      </c>
      <c r="L473" s="44" t="s">
        <v>400</v>
      </c>
      <c r="M473" s="45" t="s">
        <v>680</v>
      </c>
    </row>
    <row r="474" spans="2:13" ht="93" customHeight="1" x14ac:dyDescent="0.25">
      <c r="B474" s="19" t="s">
        <v>186</v>
      </c>
      <c r="C474" s="60"/>
      <c r="D474" s="57" t="s">
        <v>6</v>
      </c>
      <c r="E474" s="18" t="s">
        <v>39</v>
      </c>
      <c r="F474" s="17">
        <v>1.6</v>
      </c>
      <c r="G474" s="17" t="s">
        <v>622</v>
      </c>
      <c r="H474" s="17" t="s">
        <v>40</v>
      </c>
      <c r="I474" s="17" t="s">
        <v>36</v>
      </c>
      <c r="J474" s="17">
        <v>3</v>
      </c>
      <c r="K474" s="43">
        <v>2</v>
      </c>
      <c r="L474" s="44" t="s">
        <v>400</v>
      </c>
      <c r="M474" s="45" t="s">
        <v>680</v>
      </c>
    </row>
    <row r="475" spans="2:13" ht="66.75" customHeight="1" x14ac:dyDescent="0.25">
      <c r="B475" s="19" t="s">
        <v>186</v>
      </c>
      <c r="C475" s="60"/>
      <c r="D475" s="57" t="s">
        <v>6</v>
      </c>
      <c r="E475" s="18" t="s">
        <v>41</v>
      </c>
      <c r="F475" s="17">
        <v>1.7</v>
      </c>
      <c r="G475" s="17" t="s">
        <v>623</v>
      </c>
      <c r="H475" s="17" t="s">
        <v>42</v>
      </c>
      <c r="I475" s="17" t="s">
        <v>43</v>
      </c>
      <c r="J475" s="17">
        <v>3</v>
      </c>
      <c r="K475" s="43">
        <v>3</v>
      </c>
      <c r="L475" s="44" t="s">
        <v>401</v>
      </c>
      <c r="M475" s="45" t="s">
        <v>680</v>
      </c>
    </row>
    <row r="476" spans="2:13" ht="66.75" customHeight="1" x14ac:dyDescent="0.25">
      <c r="B476" s="19" t="s">
        <v>186</v>
      </c>
      <c r="C476" s="60"/>
      <c r="D476" s="57" t="s">
        <v>6</v>
      </c>
      <c r="E476" s="18" t="s">
        <v>44</v>
      </c>
      <c r="F476" s="17">
        <v>1.7</v>
      </c>
      <c r="G476" s="17" t="s">
        <v>623</v>
      </c>
      <c r="H476" s="17" t="s">
        <v>45</v>
      </c>
      <c r="I476" s="17" t="s">
        <v>43</v>
      </c>
      <c r="J476" s="17">
        <v>3</v>
      </c>
      <c r="K476" s="43">
        <v>3</v>
      </c>
      <c r="L476" s="44" t="s">
        <v>401</v>
      </c>
      <c r="M476" s="45" t="s">
        <v>680</v>
      </c>
    </row>
    <row r="477" spans="2:13" ht="66.75" customHeight="1" x14ac:dyDescent="0.25">
      <c r="B477" s="19" t="s">
        <v>186</v>
      </c>
      <c r="C477" s="60"/>
      <c r="D477" s="57" t="s">
        <v>6</v>
      </c>
      <c r="E477" s="18" t="s">
        <v>46</v>
      </c>
      <c r="F477" s="17">
        <v>1.7</v>
      </c>
      <c r="G477" s="17" t="s">
        <v>623</v>
      </c>
      <c r="H477" s="17" t="s">
        <v>47</v>
      </c>
      <c r="I477" s="17" t="s">
        <v>43</v>
      </c>
      <c r="J477" s="17">
        <v>3</v>
      </c>
      <c r="K477" s="43">
        <v>2</v>
      </c>
      <c r="L477" s="44" t="s">
        <v>401</v>
      </c>
      <c r="M477" s="45" t="s">
        <v>680</v>
      </c>
    </row>
    <row r="478" spans="2:13" ht="81" customHeight="1" x14ac:dyDescent="0.25">
      <c r="B478" s="19" t="s">
        <v>186</v>
      </c>
      <c r="C478" s="60"/>
      <c r="D478" s="57" t="s">
        <v>6</v>
      </c>
      <c r="E478" s="18" t="s">
        <v>48</v>
      </c>
      <c r="F478" s="17">
        <v>1.8</v>
      </c>
      <c r="G478" s="17" t="s">
        <v>624</v>
      </c>
      <c r="H478" s="17" t="s">
        <v>49</v>
      </c>
      <c r="I478" s="17" t="s">
        <v>50</v>
      </c>
      <c r="J478" s="17">
        <v>2</v>
      </c>
      <c r="K478" s="43">
        <v>2</v>
      </c>
      <c r="L478" s="44"/>
      <c r="M478" s="45" t="s">
        <v>682</v>
      </c>
    </row>
    <row r="479" spans="2:13" ht="63.75" x14ac:dyDescent="0.25">
      <c r="B479" s="19" t="s">
        <v>186</v>
      </c>
      <c r="C479" s="60"/>
      <c r="D479" s="57" t="s">
        <v>6</v>
      </c>
      <c r="E479" s="18" t="s">
        <v>51</v>
      </c>
      <c r="F479" s="17">
        <v>1.8</v>
      </c>
      <c r="G479" s="17" t="s">
        <v>624</v>
      </c>
      <c r="H479" s="17" t="s">
        <v>52</v>
      </c>
      <c r="I479" s="17" t="s">
        <v>53</v>
      </c>
      <c r="J479" s="17">
        <v>6</v>
      </c>
      <c r="K479" s="43">
        <v>5</v>
      </c>
      <c r="L479" s="44" t="s">
        <v>608</v>
      </c>
      <c r="M479" s="45"/>
    </row>
    <row r="480" spans="2:13" ht="38.25" x14ac:dyDescent="0.25">
      <c r="B480" s="19" t="s">
        <v>186</v>
      </c>
      <c r="C480" s="60"/>
      <c r="D480" s="57" t="s">
        <v>6</v>
      </c>
      <c r="E480" s="18" t="s">
        <v>54</v>
      </c>
      <c r="F480" s="17">
        <v>1.8</v>
      </c>
      <c r="G480" s="17" t="s">
        <v>624</v>
      </c>
      <c r="H480" s="17" t="s">
        <v>55</v>
      </c>
      <c r="I480" s="17" t="s">
        <v>56</v>
      </c>
      <c r="J480" s="17">
        <v>2</v>
      </c>
      <c r="K480" s="43">
        <v>2</v>
      </c>
      <c r="L480" s="44" t="s">
        <v>309</v>
      </c>
      <c r="M480" s="45" t="s">
        <v>402</v>
      </c>
    </row>
    <row r="481" spans="2:13" ht="69.75" customHeight="1" x14ac:dyDescent="0.25">
      <c r="B481" s="19" t="s">
        <v>186</v>
      </c>
      <c r="C481" s="60"/>
      <c r="D481" s="57" t="s">
        <v>6</v>
      </c>
      <c r="E481" s="18" t="s">
        <v>57</v>
      </c>
      <c r="F481" s="17">
        <v>1.9</v>
      </c>
      <c r="G481" s="17" t="s">
        <v>58</v>
      </c>
      <c r="H481" s="17" t="s">
        <v>59</v>
      </c>
      <c r="I481" s="17" t="s">
        <v>60</v>
      </c>
      <c r="J481" s="17">
        <v>2</v>
      </c>
      <c r="K481" s="43">
        <v>1</v>
      </c>
      <c r="L481" s="44" t="s">
        <v>310</v>
      </c>
      <c r="M481" s="45"/>
    </row>
    <row r="482" spans="2:13" ht="120.75" customHeight="1" x14ac:dyDescent="0.25">
      <c r="B482" s="19" t="s">
        <v>186</v>
      </c>
      <c r="C482" s="60"/>
      <c r="D482" s="57" t="s">
        <v>6</v>
      </c>
      <c r="E482" s="18" t="s">
        <v>61</v>
      </c>
      <c r="F482" s="17">
        <v>1.9</v>
      </c>
      <c r="G482" s="17" t="s">
        <v>58</v>
      </c>
      <c r="H482" s="17" t="s">
        <v>62</v>
      </c>
      <c r="I482" s="17" t="s">
        <v>63</v>
      </c>
      <c r="J482" s="17">
        <v>1</v>
      </c>
      <c r="K482" s="43">
        <v>2</v>
      </c>
      <c r="L482" s="44" t="s">
        <v>310</v>
      </c>
      <c r="M482" s="45"/>
    </row>
    <row r="483" spans="2:13" ht="68.25" customHeight="1" x14ac:dyDescent="0.25">
      <c r="B483" s="19" t="s">
        <v>186</v>
      </c>
      <c r="C483" s="60"/>
      <c r="D483" s="57" t="s">
        <v>6</v>
      </c>
      <c r="E483" s="18" t="s">
        <v>64</v>
      </c>
      <c r="F483" s="17">
        <v>1.9</v>
      </c>
      <c r="G483" s="17" t="s">
        <v>58</v>
      </c>
      <c r="H483" s="17" t="s">
        <v>65</v>
      </c>
      <c r="I483" s="17" t="s">
        <v>66</v>
      </c>
      <c r="J483" s="17">
        <v>2</v>
      </c>
      <c r="K483" s="43">
        <v>2</v>
      </c>
      <c r="L483" s="44" t="s">
        <v>310</v>
      </c>
      <c r="M483" s="45"/>
    </row>
    <row r="484" spans="2:13" ht="76.5" x14ac:dyDescent="0.25">
      <c r="B484" s="19" t="s">
        <v>186</v>
      </c>
      <c r="C484" s="61"/>
      <c r="D484" s="57" t="s">
        <v>67</v>
      </c>
      <c r="E484" s="18" t="s">
        <v>68</v>
      </c>
      <c r="F484" s="17">
        <v>2.1</v>
      </c>
      <c r="G484" s="17" t="s">
        <v>642</v>
      </c>
      <c r="H484" s="17" t="s">
        <v>69</v>
      </c>
      <c r="I484" s="17" t="s">
        <v>70</v>
      </c>
      <c r="J484" s="17">
        <v>2</v>
      </c>
      <c r="K484" s="19">
        <v>1</v>
      </c>
      <c r="L484" s="17" t="s">
        <v>612</v>
      </c>
      <c r="M484" s="17" t="s">
        <v>404</v>
      </c>
    </row>
    <row r="485" spans="2:13" ht="96" customHeight="1" x14ac:dyDescent="0.25">
      <c r="B485" s="19" t="s">
        <v>186</v>
      </c>
      <c r="C485" s="61"/>
      <c r="D485" s="57" t="s">
        <v>71</v>
      </c>
      <c r="E485" s="18" t="s">
        <v>72</v>
      </c>
      <c r="F485" s="17">
        <v>2.2000000000000002</v>
      </c>
      <c r="G485" s="17" t="s">
        <v>73</v>
      </c>
      <c r="H485" s="17" t="s">
        <v>74</v>
      </c>
      <c r="I485" s="17" t="s">
        <v>75</v>
      </c>
      <c r="J485" s="17">
        <v>3</v>
      </c>
      <c r="K485" s="19">
        <v>2</v>
      </c>
      <c r="L485" s="17" t="s">
        <v>223</v>
      </c>
      <c r="M485" s="17" t="s">
        <v>404</v>
      </c>
    </row>
    <row r="486" spans="2:13" ht="96" customHeight="1" x14ac:dyDescent="0.25">
      <c r="B486" s="19" t="s">
        <v>186</v>
      </c>
      <c r="C486" s="61"/>
      <c r="D486" s="57" t="s">
        <v>71</v>
      </c>
      <c r="E486" s="18" t="s">
        <v>76</v>
      </c>
      <c r="F486" s="17">
        <v>2.2999999999999998</v>
      </c>
      <c r="G486" s="17" t="s">
        <v>77</v>
      </c>
      <c r="H486" s="17" t="s">
        <v>78</v>
      </c>
      <c r="I486" s="17" t="s">
        <v>75</v>
      </c>
      <c r="J486" s="17">
        <v>3</v>
      </c>
      <c r="K486" s="19">
        <v>2</v>
      </c>
      <c r="L486" s="17" t="s">
        <v>223</v>
      </c>
      <c r="M486" s="17" t="s">
        <v>404</v>
      </c>
    </row>
    <row r="487" spans="2:13" ht="96" customHeight="1" x14ac:dyDescent="0.25">
      <c r="B487" s="19" t="s">
        <v>186</v>
      </c>
      <c r="C487" s="61"/>
      <c r="D487" s="57" t="s">
        <v>71</v>
      </c>
      <c r="E487" s="18" t="s">
        <v>79</v>
      </c>
      <c r="F487" s="17">
        <v>2.4</v>
      </c>
      <c r="G487" s="17" t="s">
        <v>80</v>
      </c>
      <c r="H487" s="17" t="s">
        <v>81</v>
      </c>
      <c r="I487" s="17" t="s">
        <v>75</v>
      </c>
      <c r="J487" s="17">
        <v>3</v>
      </c>
      <c r="K487" s="19">
        <v>3</v>
      </c>
      <c r="L487" s="17" t="s">
        <v>224</v>
      </c>
      <c r="M487" s="17" t="s">
        <v>404</v>
      </c>
    </row>
    <row r="488" spans="2:13" ht="52.5" customHeight="1" x14ac:dyDescent="0.25">
      <c r="B488" s="19" t="s">
        <v>186</v>
      </c>
      <c r="C488" s="61"/>
      <c r="D488" s="57" t="s">
        <v>67</v>
      </c>
      <c r="E488" s="18" t="s">
        <v>82</v>
      </c>
      <c r="F488" s="17">
        <v>2.5</v>
      </c>
      <c r="G488" s="17" t="s">
        <v>83</v>
      </c>
      <c r="H488" s="17" t="s">
        <v>84</v>
      </c>
      <c r="I488" s="17" t="s">
        <v>85</v>
      </c>
      <c r="J488" s="17">
        <v>1</v>
      </c>
      <c r="K488" s="19">
        <v>0.5</v>
      </c>
      <c r="L488" s="17" t="s">
        <v>613</v>
      </c>
      <c r="M488" s="17" t="s">
        <v>404</v>
      </c>
    </row>
    <row r="489" spans="2:13" ht="54" customHeight="1" x14ac:dyDescent="0.25">
      <c r="B489" s="19" t="s">
        <v>186</v>
      </c>
      <c r="C489" s="61"/>
      <c r="D489" s="57" t="s">
        <v>67</v>
      </c>
      <c r="E489" s="18" t="s">
        <v>86</v>
      </c>
      <c r="F489" s="17">
        <v>2.6</v>
      </c>
      <c r="G489" s="17" t="s">
        <v>625</v>
      </c>
      <c r="H489" s="17" t="s">
        <v>87</v>
      </c>
      <c r="I489" s="17" t="s">
        <v>88</v>
      </c>
      <c r="J489" s="17">
        <v>2</v>
      </c>
      <c r="K489" s="19">
        <v>1</v>
      </c>
      <c r="L489" s="17" t="s">
        <v>616</v>
      </c>
      <c r="M489" s="17" t="s">
        <v>404</v>
      </c>
    </row>
    <row r="490" spans="2:13" ht="65.25" customHeight="1" x14ac:dyDescent="0.25">
      <c r="B490" s="19" t="s">
        <v>186</v>
      </c>
      <c r="C490" s="61"/>
      <c r="D490" s="57" t="s">
        <v>67</v>
      </c>
      <c r="E490" s="18" t="s">
        <v>89</v>
      </c>
      <c r="F490" s="17">
        <v>2.6</v>
      </c>
      <c r="G490" s="17" t="s">
        <v>625</v>
      </c>
      <c r="H490" s="17" t="s">
        <v>90</v>
      </c>
      <c r="I490" s="17" t="s">
        <v>91</v>
      </c>
      <c r="J490" s="17">
        <v>1</v>
      </c>
      <c r="K490" s="19"/>
      <c r="L490" s="17"/>
      <c r="M490" s="17" t="s">
        <v>404</v>
      </c>
    </row>
    <row r="491" spans="2:13" ht="56.25" customHeight="1" x14ac:dyDescent="0.25">
      <c r="B491" s="19" t="s">
        <v>186</v>
      </c>
      <c r="C491" s="61"/>
      <c r="D491" s="57" t="s">
        <v>92</v>
      </c>
      <c r="E491" s="18" t="s">
        <v>93</v>
      </c>
      <c r="F491" s="17">
        <v>2.7</v>
      </c>
      <c r="G491" s="17" t="s">
        <v>626</v>
      </c>
      <c r="H491" s="17" t="s">
        <v>94</v>
      </c>
      <c r="I491" s="17" t="s">
        <v>85</v>
      </c>
      <c r="J491" s="17">
        <v>1</v>
      </c>
      <c r="K491" s="19">
        <v>0</v>
      </c>
      <c r="L491" s="17"/>
      <c r="M491" s="17" t="s">
        <v>404</v>
      </c>
    </row>
    <row r="492" spans="2:13" ht="102" x14ac:dyDescent="0.25">
      <c r="B492" s="19" t="s">
        <v>186</v>
      </c>
      <c r="C492" s="61"/>
      <c r="D492" s="57" t="s">
        <v>92</v>
      </c>
      <c r="E492" s="18" t="s">
        <v>95</v>
      </c>
      <c r="F492" s="17">
        <v>2.8</v>
      </c>
      <c r="G492" s="17" t="s">
        <v>96</v>
      </c>
      <c r="H492" s="17" t="s">
        <v>97</v>
      </c>
      <c r="I492" s="17" t="s">
        <v>98</v>
      </c>
      <c r="J492" s="17">
        <v>3</v>
      </c>
      <c r="K492" s="19">
        <v>3</v>
      </c>
      <c r="L492" s="17"/>
      <c r="M492" s="17" t="s">
        <v>455</v>
      </c>
    </row>
    <row r="493" spans="2:13" ht="56.25" customHeight="1" x14ac:dyDescent="0.25">
      <c r="B493" s="19" t="s">
        <v>186</v>
      </c>
      <c r="C493" s="61"/>
      <c r="D493" s="57" t="s">
        <v>92</v>
      </c>
      <c r="E493" s="18" t="s">
        <v>99</v>
      </c>
      <c r="F493" s="17">
        <v>2.9</v>
      </c>
      <c r="G493" s="17" t="s">
        <v>100</v>
      </c>
      <c r="H493" s="17" t="s">
        <v>101</v>
      </c>
      <c r="I493" s="17" t="s">
        <v>85</v>
      </c>
      <c r="J493" s="17">
        <v>1</v>
      </c>
      <c r="K493" s="19">
        <v>1</v>
      </c>
      <c r="L493" s="17" t="s">
        <v>456</v>
      </c>
      <c r="M493" s="17" t="s">
        <v>404</v>
      </c>
    </row>
    <row r="494" spans="2:13" ht="52.5" customHeight="1" x14ac:dyDescent="0.25">
      <c r="B494" s="19" t="s">
        <v>186</v>
      </c>
      <c r="C494" s="61"/>
      <c r="D494" s="57" t="s">
        <v>92</v>
      </c>
      <c r="E494" s="18" t="s">
        <v>102</v>
      </c>
      <c r="F494" s="17">
        <v>2.9</v>
      </c>
      <c r="G494" s="17" t="s">
        <v>100</v>
      </c>
      <c r="H494" s="17" t="s">
        <v>103</v>
      </c>
      <c r="I494" s="17" t="s">
        <v>85</v>
      </c>
      <c r="J494" s="17">
        <v>1</v>
      </c>
      <c r="K494" s="19">
        <v>0</v>
      </c>
      <c r="L494" s="17"/>
      <c r="M494" s="17" t="s">
        <v>404</v>
      </c>
    </row>
    <row r="495" spans="2:13" ht="54.75" customHeight="1" x14ac:dyDescent="0.25">
      <c r="B495" s="19" t="s">
        <v>186</v>
      </c>
      <c r="C495" s="61"/>
      <c r="D495" s="57" t="s">
        <v>92</v>
      </c>
      <c r="E495" s="18" t="s">
        <v>104</v>
      </c>
      <c r="F495" s="17">
        <v>2.9</v>
      </c>
      <c r="G495" s="17" t="s">
        <v>100</v>
      </c>
      <c r="H495" s="17" t="s">
        <v>105</v>
      </c>
      <c r="I495" s="17" t="s">
        <v>85</v>
      </c>
      <c r="J495" s="17">
        <v>1</v>
      </c>
      <c r="K495" s="19">
        <v>0</v>
      </c>
      <c r="L495" s="17" t="s">
        <v>457</v>
      </c>
      <c r="M495" s="17" t="s">
        <v>404</v>
      </c>
    </row>
    <row r="496" spans="2:13" ht="42.75" customHeight="1" x14ac:dyDescent="0.25">
      <c r="B496" s="19" t="s">
        <v>186</v>
      </c>
      <c r="C496" s="62"/>
      <c r="D496" s="57" t="s">
        <v>106</v>
      </c>
      <c r="E496" s="18" t="s">
        <v>107</v>
      </c>
      <c r="F496" s="17">
        <v>3.1</v>
      </c>
      <c r="G496" s="17" t="s">
        <v>108</v>
      </c>
      <c r="H496" s="17" t="s">
        <v>109</v>
      </c>
      <c r="I496" s="17" t="s">
        <v>110</v>
      </c>
      <c r="J496" s="17">
        <v>1</v>
      </c>
      <c r="K496" s="19">
        <v>1</v>
      </c>
      <c r="L496" s="17"/>
      <c r="M496" s="17"/>
    </row>
    <row r="497" spans="2:13" ht="51" x14ac:dyDescent="0.25">
      <c r="B497" s="19" t="s">
        <v>186</v>
      </c>
      <c r="C497" s="62"/>
      <c r="D497" s="57" t="s">
        <v>111</v>
      </c>
      <c r="E497" s="18" t="s">
        <v>112</v>
      </c>
      <c r="F497" s="17">
        <v>3.2</v>
      </c>
      <c r="G497" s="17" t="s">
        <v>113</v>
      </c>
      <c r="H497" s="17" t="s">
        <v>114</v>
      </c>
      <c r="I497" s="17" t="s">
        <v>115</v>
      </c>
      <c r="J497" s="17">
        <v>1</v>
      </c>
      <c r="K497" s="19">
        <v>0</v>
      </c>
      <c r="L497" s="17" t="s">
        <v>518</v>
      </c>
      <c r="M497" s="17"/>
    </row>
    <row r="498" spans="2:13" ht="54" customHeight="1" x14ac:dyDescent="0.25">
      <c r="B498" s="19" t="s">
        <v>186</v>
      </c>
      <c r="C498" s="62"/>
      <c r="D498" s="57" t="s">
        <v>111</v>
      </c>
      <c r="E498" s="18" t="s">
        <v>116</v>
      </c>
      <c r="F498" s="17">
        <v>3.2</v>
      </c>
      <c r="G498" s="17" t="s">
        <v>113</v>
      </c>
      <c r="H498" s="17" t="s">
        <v>117</v>
      </c>
      <c r="I498" s="17" t="s">
        <v>115</v>
      </c>
      <c r="J498" s="17">
        <v>1</v>
      </c>
      <c r="K498" s="19">
        <v>0</v>
      </c>
      <c r="L498" s="17"/>
      <c r="M498" s="17"/>
    </row>
    <row r="499" spans="2:13" ht="51" x14ac:dyDescent="0.25">
      <c r="B499" s="19" t="s">
        <v>186</v>
      </c>
      <c r="C499" s="62"/>
      <c r="D499" s="57" t="s">
        <v>111</v>
      </c>
      <c r="E499" s="18" t="s">
        <v>118</v>
      </c>
      <c r="F499" s="17">
        <v>3.2</v>
      </c>
      <c r="G499" s="17" t="s">
        <v>113</v>
      </c>
      <c r="H499" s="17" t="s">
        <v>119</v>
      </c>
      <c r="I499" s="17" t="s">
        <v>115</v>
      </c>
      <c r="J499" s="17">
        <v>1</v>
      </c>
      <c r="K499" s="19">
        <v>0</v>
      </c>
      <c r="L499" s="17"/>
      <c r="M499" s="17"/>
    </row>
    <row r="500" spans="2:13" ht="93.75" customHeight="1" x14ac:dyDescent="0.25">
      <c r="B500" s="19" t="s">
        <v>186</v>
      </c>
      <c r="C500" s="62"/>
      <c r="D500" s="57" t="s">
        <v>111</v>
      </c>
      <c r="E500" s="18" t="s">
        <v>120</v>
      </c>
      <c r="F500" s="17">
        <v>3.3</v>
      </c>
      <c r="G500" s="17" t="s">
        <v>627</v>
      </c>
      <c r="H500" s="17" t="s">
        <v>121</v>
      </c>
      <c r="I500" s="17" t="s">
        <v>122</v>
      </c>
      <c r="J500" s="17">
        <v>1</v>
      </c>
      <c r="K500" s="19">
        <v>1</v>
      </c>
      <c r="L500" s="17" t="s">
        <v>520</v>
      </c>
      <c r="M500" s="17" t="s">
        <v>519</v>
      </c>
    </row>
    <row r="501" spans="2:13" ht="55.5" customHeight="1" x14ac:dyDescent="0.25">
      <c r="B501" s="19" t="s">
        <v>186</v>
      </c>
      <c r="C501" s="62"/>
      <c r="D501" s="57" t="s">
        <v>111</v>
      </c>
      <c r="E501" s="18" t="s">
        <v>123</v>
      </c>
      <c r="F501" s="17">
        <v>3.4</v>
      </c>
      <c r="G501" s="17" t="s">
        <v>628</v>
      </c>
      <c r="H501" s="17" t="s">
        <v>124</v>
      </c>
      <c r="I501" s="17" t="s">
        <v>115</v>
      </c>
      <c r="J501" s="17">
        <v>1</v>
      </c>
      <c r="K501" s="19">
        <v>0</v>
      </c>
      <c r="L501" s="17"/>
      <c r="M501" s="17"/>
    </row>
    <row r="502" spans="2:13" ht="94.5" customHeight="1" x14ac:dyDescent="0.25">
      <c r="B502" s="19" t="s">
        <v>186</v>
      </c>
      <c r="C502" s="62"/>
      <c r="D502" s="57" t="s">
        <v>125</v>
      </c>
      <c r="E502" s="18" t="s">
        <v>126</v>
      </c>
      <c r="F502" s="17">
        <v>3.5</v>
      </c>
      <c r="G502" s="17" t="s">
        <v>127</v>
      </c>
      <c r="H502" s="17" t="s">
        <v>128</v>
      </c>
      <c r="I502" s="17" t="s">
        <v>129</v>
      </c>
      <c r="J502" s="17">
        <v>1</v>
      </c>
      <c r="K502" s="19">
        <v>1</v>
      </c>
      <c r="L502" s="17"/>
      <c r="M502" s="17"/>
    </row>
    <row r="503" spans="2:13" ht="50.25" customHeight="1" x14ac:dyDescent="0.25">
      <c r="B503" s="19" t="s">
        <v>186</v>
      </c>
      <c r="C503" s="62"/>
      <c r="D503" s="57" t="s">
        <v>130</v>
      </c>
      <c r="E503" s="18" t="s">
        <v>131</v>
      </c>
      <c r="F503" s="17">
        <v>3.6</v>
      </c>
      <c r="G503" s="17" t="s">
        <v>255</v>
      </c>
      <c r="H503" s="17" t="s">
        <v>132</v>
      </c>
      <c r="I503" s="17" t="s">
        <v>115</v>
      </c>
      <c r="J503" s="17">
        <v>1</v>
      </c>
      <c r="K503" s="19">
        <v>0</v>
      </c>
      <c r="L503" s="17"/>
      <c r="M503" s="17"/>
    </row>
    <row r="504" spans="2:13" ht="52.5" customHeight="1" x14ac:dyDescent="0.25">
      <c r="B504" s="19" t="s">
        <v>186</v>
      </c>
      <c r="C504" s="62"/>
      <c r="D504" s="57" t="s">
        <v>130</v>
      </c>
      <c r="E504" s="18" t="s">
        <v>133</v>
      </c>
      <c r="F504" s="17">
        <v>3.7</v>
      </c>
      <c r="G504" s="17" t="s">
        <v>260</v>
      </c>
      <c r="H504" s="17" t="s">
        <v>134</v>
      </c>
      <c r="I504" s="17" t="s">
        <v>135</v>
      </c>
      <c r="J504" s="17">
        <v>1</v>
      </c>
      <c r="K504" s="19">
        <v>1</v>
      </c>
      <c r="L504" s="17" t="s">
        <v>521</v>
      </c>
      <c r="M504" s="17"/>
    </row>
    <row r="505" spans="2:13" ht="54" customHeight="1" x14ac:dyDescent="0.25">
      <c r="B505" s="19" t="s">
        <v>186</v>
      </c>
      <c r="C505" s="63"/>
      <c r="D505" s="57" t="s">
        <v>136</v>
      </c>
      <c r="E505" s="18" t="s">
        <v>137</v>
      </c>
      <c r="F505" s="17">
        <v>4.0999999999999996</v>
      </c>
      <c r="G505" s="17" t="s">
        <v>629</v>
      </c>
      <c r="H505" s="17" t="s">
        <v>138</v>
      </c>
      <c r="I505" s="17" t="s">
        <v>85</v>
      </c>
      <c r="J505" s="17">
        <v>1</v>
      </c>
      <c r="K505" s="19">
        <v>0</v>
      </c>
      <c r="L505" s="17"/>
      <c r="M505" s="17"/>
    </row>
    <row r="506" spans="2:13" ht="51" x14ac:dyDescent="0.25">
      <c r="B506" s="19" t="s">
        <v>186</v>
      </c>
      <c r="C506" s="63"/>
      <c r="D506" s="57" t="s">
        <v>139</v>
      </c>
      <c r="E506" s="18" t="s">
        <v>140</v>
      </c>
      <c r="F506" s="17">
        <v>4.2</v>
      </c>
      <c r="G506" s="17" t="s">
        <v>630</v>
      </c>
      <c r="H506" s="17" t="s">
        <v>141</v>
      </c>
      <c r="I506" s="17" t="s">
        <v>142</v>
      </c>
      <c r="J506" s="17">
        <v>2</v>
      </c>
      <c r="K506" s="19">
        <v>0</v>
      </c>
      <c r="L506" s="17"/>
      <c r="M506" s="17" t="s">
        <v>571</v>
      </c>
    </row>
    <row r="507" spans="2:13" ht="53.25" customHeight="1" x14ac:dyDescent="0.25">
      <c r="B507" s="19" t="s">
        <v>186</v>
      </c>
      <c r="C507" s="63"/>
      <c r="D507" s="57" t="s">
        <v>139</v>
      </c>
      <c r="E507" s="18" t="s">
        <v>143</v>
      </c>
      <c r="F507" s="17">
        <v>4.3</v>
      </c>
      <c r="G507" s="17" t="s">
        <v>631</v>
      </c>
      <c r="H507" s="17" t="s">
        <v>144</v>
      </c>
      <c r="I507" s="17" t="s">
        <v>142</v>
      </c>
      <c r="J507" s="17">
        <v>2</v>
      </c>
      <c r="K507" s="19">
        <v>2</v>
      </c>
      <c r="L507" s="17" t="s">
        <v>572</v>
      </c>
      <c r="M507" s="17" t="s">
        <v>571</v>
      </c>
    </row>
    <row r="508" spans="2:13" ht="134.25" customHeight="1" x14ac:dyDescent="0.25">
      <c r="B508" s="19" t="s">
        <v>186</v>
      </c>
      <c r="C508" s="63"/>
      <c r="D508" s="57" t="s">
        <v>139</v>
      </c>
      <c r="E508" s="18" t="s">
        <v>145</v>
      </c>
      <c r="F508" s="17">
        <v>4.4000000000000004</v>
      </c>
      <c r="G508" s="17" t="s">
        <v>632</v>
      </c>
      <c r="H508" s="17" t="s">
        <v>146</v>
      </c>
      <c r="I508" s="17" t="s">
        <v>147</v>
      </c>
      <c r="J508" s="17">
        <v>7</v>
      </c>
      <c r="K508" s="19">
        <v>3</v>
      </c>
      <c r="L508" s="17" t="s">
        <v>573</v>
      </c>
      <c r="M508" s="17" t="s">
        <v>571</v>
      </c>
    </row>
    <row r="509" spans="2:13" ht="54" customHeight="1" x14ac:dyDescent="0.25">
      <c r="B509" s="19" t="s">
        <v>186</v>
      </c>
      <c r="C509" s="63"/>
      <c r="D509" s="57" t="s">
        <v>148</v>
      </c>
      <c r="E509" s="18" t="s">
        <v>149</v>
      </c>
      <c r="F509" s="17">
        <v>4.5</v>
      </c>
      <c r="G509" s="17" t="s">
        <v>633</v>
      </c>
      <c r="H509" s="17" t="s">
        <v>150</v>
      </c>
      <c r="I509" s="17" t="s">
        <v>115</v>
      </c>
      <c r="J509" s="17">
        <v>1</v>
      </c>
      <c r="K509" s="19">
        <v>1</v>
      </c>
      <c r="L509" s="17" t="s">
        <v>574</v>
      </c>
      <c r="M509" s="17" t="s">
        <v>426</v>
      </c>
    </row>
    <row r="510" spans="2:13" ht="51.75" customHeight="1" x14ac:dyDescent="0.25">
      <c r="B510" s="19" t="s">
        <v>186</v>
      </c>
      <c r="C510" s="63"/>
      <c r="D510" s="57" t="s">
        <v>148</v>
      </c>
      <c r="E510" s="18" t="s">
        <v>151</v>
      </c>
      <c r="F510" s="17">
        <v>4.5999999999999996</v>
      </c>
      <c r="G510" s="17" t="s">
        <v>634</v>
      </c>
      <c r="H510" s="17" t="s">
        <v>152</v>
      </c>
      <c r="I510" s="17" t="s">
        <v>85</v>
      </c>
      <c r="J510" s="17">
        <v>1</v>
      </c>
      <c r="K510" s="19">
        <v>0</v>
      </c>
      <c r="L510" s="17"/>
      <c r="M510" s="17"/>
    </row>
    <row r="511" spans="2:13" ht="50.25" customHeight="1" x14ac:dyDescent="0.25">
      <c r="B511" s="19" t="s">
        <v>186</v>
      </c>
      <c r="C511" s="63"/>
      <c r="D511" s="57" t="s">
        <v>148</v>
      </c>
      <c r="E511" s="18" t="s">
        <v>153</v>
      </c>
      <c r="F511" s="17">
        <v>4.7</v>
      </c>
      <c r="G511" s="17" t="s">
        <v>635</v>
      </c>
      <c r="H511" s="17" t="s">
        <v>154</v>
      </c>
      <c r="I511" s="17" t="s">
        <v>85</v>
      </c>
      <c r="J511" s="17">
        <v>1</v>
      </c>
      <c r="K511" s="19">
        <v>0</v>
      </c>
      <c r="L511" s="17"/>
      <c r="M511" s="17"/>
    </row>
    <row r="512" spans="2:13" ht="51.75" customHeight="1" x14ac:dyDescent="0.25">
      <c r="B512" s="19" t="s">
        <v>186</v>
      </c>
      <c r="C512" s="63"/>
      <c r="D512" s="57" t="s">
        <v>148</v>
      </c>
      <c r="E512" s="18" t="s">
        <v>155</v>
      </c>
      <c r="F512" s="17">
        <v>4.8</v>
      </c>
      <c r="G512" s="17" t="s">
        <v>156</v>
      </c>
      <c r="H512" s="17" t="s">
        <v>157</v>
      </c>
      <c r="I512" s="17" t="s">
        <v>85</v>
      </c>
      <c r="J512" s="17">
        <v>1</v>
      </c>
      <c r="K512" s="19">
        <v>0</v>
      </c>
      <c r="L512" s="17"/>
      <c r="M512" s="17"/>
    </row>
    <row r="513" spans="2:13" ht="38.25" x14ac:dyDescent="0.25">
      <c r="B513" s="19" t="s">
        <v>186</v>
      </c>
      <c r="C513" s="63"/>
      <c r="D513" s="57" t="s">
        <v>136</v>
      </c>
      <c r="E513" s="18" t="s">
        <v>158</v>
      </c>
      <c r="F513" s="17">
        <v>4.9000000000000004</v>
      </c>
      <c r="G513" s="17" t="s">
        <v>636</v>
      </c>
      <c r="H513" s="17" t="s">
        <v>159</v>
      </c>
      <c r="I513" s="17" t="s">
        <v>85</v>
      </c>
      <c r="J513" s="17">
        <v>1</v>
      </c>
      <c r="K513" s="19">
        <v>1</v>
      </c>
      <c r="L513" s="17"/>
      <c r="M513" s="17" t="s">
        <v>575</v>
      </c>
    </row>
    <row r="514" spans="2:13" ht="25.5" x14ac:dyDescent="0.25">
      <c r="B514" s="19" t="s">
        <v>186</v>
      </c>
      <c r="C514" s="63"/>
      <c r="D514" s="57" t="s">
        <v>136</v>
      </c>
      <c r="E514" s="18" t="s">
        <v>160</v>
      </c>
      <c r="F514" s="27">
        <v>4.0999999999999996</v>
      </c>
      <c r="G514" s="17" t="s">
        <v>637</v>
      </c>
      <c r="H514" s="17" t="s">
        <v>161</v>
      </c>
      <c r="I514" s="17" t="s">
        <v>85</v>
      </c>
      <c r="J514" s="17">
        <v>1</v>
      </c>
      <c r="K514" s="19">
        <v>1</v>
      </c>
      <c r="L514" s="17"/>
      <c r="M514" s="17" t="s">
        <v>571</v>
      </c>
    </row>
    <row r="515" spans="2:13" ht="66" customHeight="1" x14ac:dyDescent="0.25">
      <c r="B515" s="19" t="s">
        <v>186</v>
      </c>
      <c r="C515" s="63"/>
      <c r="D515" s="57" t="s">
        <v>136</v>
      </c>
      <c r="E515" s="18" t="s">
        <v>162</v>
      </c>
      <c r="F515" s="17">
        <v>4.1100000000000003</v>
      </c>
      <c r="G515" s="17" t="s">
        <v>638</v>
      </c>
      <c r="H515" s="17" t="s">
        <v>163</v>
      </c>
      <c r="I515" s="17" t="s">
        <v>85</v>
      </c>
      <c r="J515" s="17">
        <v>1</v>
      </c>
      <c r="K515" s="19">
        <v>0</v>
      </c>
      <c r="L515" s="17"/>
      <c r="M515" s="17"/>
    </row>
    <row r="516" spans="2:13" ht="49.5" customHeight="1" x14ac:dyDescent="0.25">
      <c r="B516" s="19" t="s">
        <v>186</v>
      </c>
      <c r="C516" s="63"/>
      <c r="D516" s="57" t="s">
        <v>136</v>
      </c>
      <c r="E516" s="18" t="s">
        <v>164</v>
      </c>
      <c r="F516" s="17">
        <v>4.12</v>
      </c>
      <c r="G516" s="17" t="s">
        <v>639</v>
      </c>
      <c r="H516" s="17" t="s">
        <v>165</v>
      </c>
      <c r="I516" s="17" t="s">
        <v>85</v>
      </c>
      <c r="J516" s="17">
        <v>1</v>
      </c>
      <c r="K516" s="19">
        <v>1</v>
      </c>
      <c r="L516" s="17" t="s">
        <v>576</v>
      </c>
      <c r="M516" s="17" t="s">
        <v>577</v>
      </c>
    </row>
    <row r="517" spans="2:13" ht="38.25" x14ac:dyDescent="0.25">
      <c r="B517" s="19" t="s">
        <v>186</v>
      </c>
      <c r="C517" s="63"/>
      <c r="D517" s="57" t="s">
        <v>136</v>
      </c>
      <c r="E517" s="18" t="s">
        <v>166</v>
      </c>
      <c r="F517" s="17">
        <v>4.13</v>
      </c>
      <c r="G517" s="17" t="s">
        <v>640</v>
      </c>
      <c r="H517" s="17" t="s">
        <v>167</v>
      </c>
      <c r="I517" s="17" t="s">
        <v>85</v>
      </c>
      <c r="J517" s="17">
        <v>1</v>
      </c>
      <c r="K517" s="19">
        <v>0</v>
      </c>
      <c r="L517" s="17"/>
      <c r="M517" s="17"/>
    </row>
  </sheetData>
  <autoFilter ref="B4:M517" xr:uid="{C59DF7F8-9CD7-4BE1-A4C6-09C83BD77CD9}"/>
  <mergeCells count="2">
    <mergeCell ref="B2:I2"/>
    <mergeCell ref="C4:D4"/>
  </mergeCells>
  <dataValidations count="2">
    <dataValidation type="list" allowBlank="1" showInputMessage="1" showErrorMessage="1" sqref="L63 L291" xr:uid="{43601BE8-C161-4230-897D-5A43B9B27474}">
      <formula1>#REF!</formula1>
    </dataValidation>
    <dataValidation type="list" allowBlank="1" showErrorMessage="1" sqref="L120 L462" xr:uid="{274945E3-9F99-4C6A-9829-25737247E520}">
      <formula1>#REF!</formula1>
    </dataValidation>
  </dataValidations>
  <hyperlinks>
    <hyperlink ref="M199" r:id="rId1" xr:uid="{B7AC904E-F027-443A-8B64-19212768EE39}"/>
    <hyperlink ref="M142" r:id="rId2" xr:uid="{2A2A4C83-590E-419A-A272-C5E83632010B}"/>
    <hyperlink ref="M480" r:id="rId3" xr:uid="{B7A47268-812A-4845-A699-9BD7DCD76258}"/>
    <hyperlink ref="M204" r:id="rId4" xr:uid="{9C15025C-C553-455B-B169-7247FC35D536}"/>
    <hyperlink ref="M28" r:id="rId5" display="https://www.airportcarbonaccreditation.org/airport/technical-documents.html" xr:uid="{4955A0D6-7701-4FD4-A858-AD6B91A26047}"/>
    <hyperlink ref="M29" r:id="rId6" display="https://airportco2.org/what-do-verifiers-do.html" xr:uid="{76E817A4-8A5D-4120-AB48-7010A50A600A}"/>
    <hyperlink ref="M143:M153" r:id="rId7" display="https://www.climateneutral.org/standards" xr:uid="{BD638101-32AD-4238-8332-D4C308E64722}"/>
    <hyperlink ref="M149" r:id="rId8" xr:uid="{103B41D9-7B9A-4698-A76B-DF626573262B}"/>
    <hyperlink ref="M331" r:id="rId9" display="https://www.climatepartner.com/en/academy" xr:uid="{E2BB5571-5653-452F-9A4B-3F8ABAD58B3F}"/>
    <hyperlink ref="M388" r:id="rId10" xr:uid="{72228F6E-49EF-4057-BF34-D08649EA41CC}"/>
    <hyperlink ref="M126" r:id="rId11" xr:uid="{809B8E9A-BD1C-43F7-8049-412B83F420BA}"/>
    <hyperlink ref="M120" r:id="rId12" xr:uid="{BDD70DC2-F975-4780-A962-504514EC177C}"/>
    <hyperlink ref="M137" r:id="rId13" xr:uid="{283DB3C0-343C-436E-AA3F-21F22362F209}"/>
  </hyperlinks>
  <pageMargins left="1" right="1" top="1" bottom="1" header="0.5" footer="0.5"/>
  <pageSetup orientation="portrait" r:id="rId14"/>
  <legacy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4D8-8E02-4244-9BA9-4EE8FAC0E6B5}">
  <dimension ref="B1:AO58"/>
  <sheetViews>
    <sheetView zoomScale="83" zoomScaleNormal="83" workbookViewId="0">
      <pane xSplit="5" ySplit="5" topLeftCell="O6" activePane="bottomRight" state="frozen"/>
      <selection pane="topRight" activeCell="B1" sqref="B1"/>
      <selection pane="bottomLeft" activeCell="A2" sqref="A2"/>
      <selection pane="bottomRight" activeCell="B2" sqref="B2:AO2"/>
    </sheetView>
  </sheetViews>
  <sheetFormatPr defaultColWidth="8.85546875" defaultRowHeight="14.25" x14ac:dyDescent="0.25"/>
  <cols>
    <col min="1" max="1" width="8.85546875" style="92"/>
    <col min="2" max="2" width="3.28515625" style="92" customWidth="1"/>
    <col min="3" max="3" width="20.85546875" style="92" customWidth="1"/>
    <col min="4" max="4" width="12.28515625" style="92" customWidth="1"/>
    <col min="5" max="5" width="62.85546875" style="92" customWidth="1"/>
    <col min="6" max="11" width="39.7109375" style="92" hidden="1" customWidth="1"/>
    <col min="12" max="14" width="20.28515625" style="92" hidden="1" customWidth="1"/>
    <col min="15" max="15" width="17.28515625" style="92" customWidth="1"/>
    <col min="16" max="16" width="15.7109375" style="92" customWidth="1"/>
    <col min="17" max="17" width="11.7109375" style="92" customWidth="1"/>
    <col min="18" max="18" width="12" style="92" customWidth="1"/>
    <col min="19" max="19" width="12.42578125" style="92" customWidth="1"/>
    <col min="20" max="20" width="6.42578125" style="92" customWidth="1"/>
    <col min="21" max="21" width="10.42578125" style="92" customWidth="1"/>
    <col min="22" max="22" width="11.7109375" style="92" customWidth="1"/>
    <col min="23" max="23" width="8" style="92" customWidth="1"/>
    <col min="24" max="24" width="13.140625" style="92" customWidth="1"/>
    <col min="25" max="25" width="11.28515625" style="92" customWidth="1"/>
    <col min="26" max="26" width="12.28515625" style="92" customWidth="1"/>
    <col min="27" max="27" width="8.140625" style="92" customWidth="1"/>
    <col min="28" max="36" width="8.7109375" style="92" customWidth="1"/>
    <col min="37" max="37" width="9.85546875" style="92" customWidth="1"/>
    <col min="38" max="38" width="5.28515625" style="92" bestFit="1" customWidth="1"/>
    <col min="39" max="39" width="4.140625" style="92" bestFit="1" customWidth="1"/>
    <col min="40" max="40" width="4.42578125" style="92" bestFit="1" customWidth="1"/>
    <col min="41" max="41" width="26.7109375" style="92" customWidth="1"/>
    <col min="42" max="43" width="8.85546875" style="92"/>
    <col min="44" max="44" width="8.85546875" style="92" bestFit="1" customWidth="1"/>
    <col min="45" max="52" width="10.85546875" style="92" bestFit="1" customWidth="1"/>
    <col min="53" max="16384" width="8.85546875" style="92"/>
  </cols>
  <sheetData>
    <row r="1" spans="2:41" ht="24.75" customHeight="1" x14ac:dyDescent="0.25"/>
    <row r="2" spans="2:41" ht="24.75" customHeight="1" x14ac:dyDescent="0.25">
      <c r="B2" s="154" t="s">
        <v>686</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1" ht="24.75" customHeight="1" x14ac:dyDescent="0.25"/>
    <row r="4" spans="2:41" ht="29.25" customHeight="1" x14ac:dyDescent="0.25">
      <c r="B4" s="102"/>
      <c r="C4" s="102"/>
      <c r="D4" s="102"/>
      <c r="E4" s="103"/>
      <c r="F4" s="155" t="s">
        <v>283</v>
      </c>
      <c r="G4" s="155"/>
      <c r="H4" s="155"/>
      <c r="I4" s="155"/>
      <c r="J4" s="155"/>
      <c r="K4" s="155"/>
      <c r="L4" s="155"/>
      <c r="M4" s="155"/>
      <c r="N4" s="155"/>
      <c r="O4" s="181" t="s">
        <v>284</v>
      </c>
      <c r="P4" s="181"/>
      <c r="Q4" s="181"/>
      <c r="R4" s="181"/>
      <c r="S4" s="181"/>
      <c r="T4" s="181"/>
      <c r="U4" s="181"/>
      <c r="V4" s="181"/>
      <c r="W4" s="181"/>
      <c r="X4" s="181"/>
      <c r="Y4" s="181"/>
      <c r="Z4" s="181"/>
      <c r="AA4" s="104"/>
      <c r="AB4" s="181" t="s">
        <v>285</v>
      </c>
      <c r="AC4" s="181"/>
      <c r="AD4" s="181"/>
      <c r="AE4" s="181"/>
      <c r="AF4" s="181"/>
      <c r="AG4" s="181"/>
      <c r="AH4" s="181"/>
      <c r="AI4" s="181"/>
      <c r="AJ4" s="181"/>
      <c r="AK4" s="181"/>
    </row>
    <row r="5" spans="2:41" s="93" customFormat="1" ht="84" customHeight="1" x14ac:dyDescent="0.25">
      <c r="B5" s="155" t="s">
        <v>0</v>
      </c>
      <c r="C5" s="155"/>
      <c r="D5" s="9" t="s">
        <v>2</v>
      </c>
      <c r="E5" s="97" t="s">
        <v>3</v>
      </c>
      <c r="F5" s="97" t="s">
        <v>193</v>
      </c>
      <c r="G5" s="97" t="s">
        <v>192</v>
      </c>
      <c r="H5" s="97" t="s">
        <v>189</v>
      </c>
      <c r="I5" s="97" t="s">
        <v>187</v>
      </c>
      <c r="J5" s="97" t="s">
        <v>191</v>
      </c>
      <c r="K5" s="97" t="s">
        <v>190</v>
      </c>
      <c r="L5" s="97" t="s">
        <v>185</v>
      </c>
      <c r="M5" s="97" t="s">
        <v>188</v>
      </c>
      <c r="N5" s="97" t="s">
        <v>186</v>
      </c>
      <c r="O5" s="95" t="s">
        <v>643</v>
      </c>
      <c r="P5" s="95" t="s">
        <v>192</v>
      </c>
      <c r="Q5" s="95" t="s">
        <v>189</v>
      </c>
      <c r="R5" s="95" t="s">
        <v>187</v>
      </c>
      <c r="S5" s="95" t="s">
        <v>660</v>
      </c>
      <c r="T5" s="95" t="s">
        <v>190</v>
      </c>
      <c r="U5" s="95" t="s">
        <v>644</v>
      </c>
      <c r="V5" s="95" t="s">
        <v>188</v>
      </c>
      <c r="W5" s="95" t="s">
        <v>186</v>
      </c>
      <c r="X5" s="96" t="s">
        <v>194</v>
      </c>
      <c r="Y5" s="96" t="s">
        <v>5</v>
      </c>
      <c r="Z5" s="96" t="s">
        <v>6</v>
      </c>
      <c r="AA5" s="109"/>
      <c r="AB5" s="95" t="s">
        <v>643</v>
      </c>
      <c r="AC5" s="95" t="s">
        <v>192</v>
      </c>
      <c r="AD5" s="95" t="s">
        <v>189</v>
      </c>
      <c r="AE5" s="95" t="s">
        <v>187</v>
      </c>
      <c r="AF5" s="95" t="s">
        <v>660</v>
      </c>
      <c r="AG5" s="95" t="s">
        <v>190</v>
      </c>
      <c r="AH5" s="95" t="s">
        <v>644</v>
      </c>
      <c r="AI5" s="95" t="s">
        <v>188</v>
      </c>
      <c r="AJ5" s="95" t="s">
        <v>186</v>
      </c>
      <c r="AK5" s="96" t="s">
        <v>194</v>
      </c>
    </row>
    <row r="6" spans="2:41" ht="28.5" customHeight="1" x14ac:dyDescent="0.25">
      <c r="B6" s="177"/>
      <c r="C6" s="180" t="s">
        <v>6</v>
      </c>
      <c r="D6" s="5">
        <v>1.1000000000000001</v>
      </c>
      <c r="E6" s="118" t="s">
        <v>645</v>
      </c>
      <c r="F6" s="118" t="s">
        <v>583</v>
      </c>
      <c r="G6" s="118" t="s">
        <v>581</v>
      </c>
      <c r="H6" s="118" t="s">
        <v>581</v>
      </c>
      <c r="I6" s="118" t="s">
        <v>581</v>
      </c>
      <c r="J6" s="118" t="s">
        <v>584</v>
      </c>
      <c r="K6" s="118" t="s">
        <v>581</v>
      </c>
      <c r="L6" s="118" t="s">
        <v>581</v>
      </c>
      <c r="M6" s="118" t="s">
        <v>581</v>
      </c>
      <c r="N6" s="118" t="s">
        <v>582</v>
      </c>
      <c r="O6" s="140">
        <v>6</v>
      </c>
      <c r="P6" s="141">
        <f>SUMIFS(Scorecards!$K$5:$K$517, Scorecards!$B$5:$B$517, "CIP", Scorecards!$F$5:$F$517, "1.1")</f>
        <v>5</v>
      </c>
      <c r="Q6" s="141">
        <f>SUMIFS(Scorecards!$K$5:$K$517, Scorecards!$B$5:$B$517, "CN", Scorecards!$F$5:$F$517, "1.1")</f>
        <v>5</v>
      </c>
      <c r="R6" s="141">
        <f>SUMIFS(Scorecards!$K$5:$K$517, Scorecards!$B$5:$B$517, "CNG", Scorecards!$F$5:$F$517, "1.1")</f>
        <v>5</v>
      </c>
      <c r="S6" s="141">
        <v>5</v>
      </c>
      <c r="T6" s="141">
        <f>SUMIFS(Scorecards!$K$5:$K$517, Scorecards!$B$5:$B$517, "CP", Scorecards!$F$5:$F$517, "1.1")</f>
        <v>5</v>
      </c>
      <c r="U6" s="141">
        <v>5</v>
      </c>
      <c r="V6" s="141">
        <f>SUMIFS(Scorecards!$K$5:$K$517, Scorecards!$B$5:$B$517, "SCS", Scorecards!$F$5:$F$517, "1.1")</f>
        <v>5</v>
      </c>
      <c r="W6" s="141">
        <f>SUMIFS(Scorecards!$K$5:$K$517, Scorecards!$B$5:$B$517, "SP", Scorecards!$F$5:$F$517, "1.1")</f>
        <v>5</v>
      </c>
      <c r="X6" s="120">
        <f t="shared" ref="X6:X14" si="0">AVERAGE(O6:W6)</f>
        <v>5.1111111111111107</v>
      </c>
      <c r="Y6" s="119">
        <v>6</v>
      </c>
      <c r="Z6" s="128">
        <f>X6/Y6</f>
        <v>0.85185185185185175</v>
      </c>
      <c r="AA6" s="110"/>
      <c r="AB6" s="113">
        <f t="shared" ref="AB6:AB15" si="1">O6/$Y6</f>
        <v>1</v>
      </c>
      <c r="AC6" s="114">
        <f t="shared" ref="AC6:AC15" si="2">P6/$Y6</f>
        <v>0.83333333333333337</v>
      </c>
      <c r="AD6" s="114">
        <f t="shared" ref="AD6:AD15" si="3">Q6/$Y6</f>
        <v>0.83333333333333337</v>
      </c>
      <c r="AE6" s="114">
        <f t="shared" ref="AE6:AE15" si="4">R6/$Y6</f>
        <v>0.83333333333333337</v>
      </c>
      <c r="AF6" s="114">
        <f t="shared" ref="AF6:AF15" si="5">S6/$Y6</f>
        <v>0.83333333333333337</v>
      </c>
      <c r="AG6" s="114">
        <f t="shared" ref="AG6:AG15" si="6">T6/$Y6</f>
        <v>0.83333333333333337</v>
      </c>
      <c r="AH6" s="114">
        <f t="shared" ref="AH6:AH15" si="7">U6/$Y6</f>
        <v>0.83333333333333337</v>
      </c>
      <c r="AI6" s="114">
        <f t="shared" ref="AI6:AI15" si="8">V6/$Y6</f>
        <v>0.83333333333333337</v>
      </c>
      <c r="AJ6" s="114">
        <f t="shared" ref="AJ6:AJ15" si="9">W6/$Y6</f>
        <v>0.83333333333333337</v>
      </c>
      <c r="AK6" s="129">
        <f>AVERAGE(AB6:AJ6)</f>
        <v>0.85185185185185175</v>
      </c>
    </row>
    <row r="7" spans="2:41" ht="28.5" customHeight="1" x14ac:dyDescent="0.25">
      <c r="B7" s="178"/>
      <c r="C7" s="180"/>
      <c r="D7" s="5">
        <v>1.2</v>
      </c>
      <c r="E7" s="118" t="s">
        <v>646</v>
      </c>
      <c r="F7" s="118" t="s">
        <v>585</v>
      </c>
      <c r="G7" s="118" t="s">
        <v>585</v>
      </c>
      <c r="H7" s="118" t="s">
        <v>586</v>
      </c>
      <c r="I7" s="118" t="s">
        <v>585</v>
      </c>
      <c r="J7" s="118" t="s">
        <v>587</v>
      </c>
      <c r="K7" s="118" t="s">
        <v>585</v>
      </c>
      <c r="L7" s="118" t="s">
        <v>585</v>
      </c>
      <c r="M7" s="118" t="s">
        <v>588</v>
      </c>
      <c r="N7" s="118" t="s">
        <v>585</v>
      </c>
      <c r="O7" s="140">
        <v>9</v>
      </c>
      <c r="P7" s="140">
        <f>SUMIFS(Scorecards!$K$5:$K$517, Scorecards!$B$5:$B$517, "CIP", Scorecards!$F$5:$F$517, "1.2")</f>
        <v>9</v>
      </c>
      <c r="Q7" s="140">
        <f>SUMIFS(Scorecards!$K$5:$K$517, Scorecards!$B$5:$B$517, "CN", Scorecards!$F$5:$F$517, "1.2")</f>
        <v>9</v>
      </c>
      <c r="R7" s="140">
        <f>SUMIFS(Scorecards!$K$5:$K$517, Scorecards!$B$5:$B$517, "CNG", Scorecards!$F$5:$F$517, "1.2")</f>
        <v>9</v>
      </c>
      <c r="S7" s="141">
        <v>6</v>
      </c>
      <c r="T7" s="140">
        <f>SUMIFS(Scorecards!$K$5:$K$517, Scorecards!$B$5:$B$517, "CP", Scorecards!$F$5:$F$517, "1.2")</f>
        <v>9</v>
      </c>
      <c r="U7" s="140">
        <v>9</v>
      </c>
      <c r="V7" s="140">
        <f>SUMIFS(Scorecards!$K$5:$K$517, Scorecards!$B$5:$B$517, "SCS", Scorecards!$F$5:$F$517, "1.2")</f>
        <v>9</v>
      </c>
      <c r="W7" s="140">
        <f>SUMIFS(Scorecards!$K$5:$K$517, Scorecards!$B$5:$B$517, "SP", Scorecards!$F$5:$F$517, "1.2")</f>
        <v>9</v>
      </c>
      <c r="X7" s="120">
        <f t="shared" si="0"/>
        <v>8.6666666666666661</v>
      </c>
      <c r="Y7" s="119">
        <f>MAX(U7:W7)</f>
        <v>9</v>
      </c>
      <c r="Z7" s="128">
        <f>X7/Y7</f>
        <v>0.96296296296296291</v>
      </c>
      <c r="AA7" s="110"/>
      <c r="AB7" s="113">
        <f t="shared" si="1"/>
        <v>1</v>
      </c>
      <c r="AC7" s="113">
        <f t="shared" si="2"/>
        <v>1</v>
      </c>
      <c r="AD7" s="113">
        <f t="shared" si="3"/>
        <v>1</v>
      </c>
      <c r="AE7" s="113">
        <f t="shared" si="4"/>
        <v>1</v>
      </c>
      <c r="AF7" s="114">
        <f t="shared" si="5"/>
        <v>0.66666666666666663</v>
      </c>
      <c r="AG7" s="113">
        <f t="shared" si="6"/>
        <v>1</v>
      </c>
      <c r="AH7" s="113">
        <f t="shared" si="7"/>
        <v>1</v>
      </c>
      <c r="AI7" s="113">
        <f t="shared" si="8"/>
        <v>1</v>
      </c>
      <c r="AJ7" s="113">
        <f t="shared" si="9"/>
        <v>1</v>
      </c>
      <c r="AK7" s="129">
        <f t="shared" ref="AK7:AK50" si="10">AVERAGE(AB7:AJ7)</f>
        <v>0.96296296296296313</v>
      </c>
      <c r="AO7" s="93" t="s">
        <v>671</v>
      </c>
    </row>
    <row r="8" spans="2:41" ht="28.5" customHeight="1" x14ac:dyDescent="0.25">
      <c r="B8" s="178"/>
      <c r="C8" s="180"/>
      <c r="D8" s="5">
        <v>1.3</v>
      </c>
      <c r="E8" s="118" t="s">
        <v>620</v>
      </c>
      <c r="F8" s="118" t="s">
        <v>589</v>
      </c>
      <c r="G8" s="118" t="s">
        <v>589</v>
      </c>
      <c r="H8" s="118" t="s">
        <v>589</v>
      </c>
      <c r="I8" s="118" t="s">
        <v>589</v>
      </c>
      <c r="J8" s="118" t="s">
        <v>589</v>
      </c>
      <c r="K8" s="118" t="s">
        <v>589</v>
      </c>
      <c r="L8" s="118" t="s">
        <v>589</v>
      </c>
      <c r="M8" s="118" t="s">
        <v>589</v>
      </c>
      <c r="N8" s="118" t="s">
        <v>589</v>
      </c>
      <c r="O8" s="140">
        <v>2</v>
      </c>
      <c r="P8" s="140">
        <f>SUMIFS(Scorecards!$K$5:$K$517, Scorecards!$B$5:$B$517, "CIP", Scorecards!$F$5:$F$517, "1.3")</f>
        <v>2</v>
      </c>
      <c r="Q8" s="140">
        <f>SUMIFS(Scorecards!$K$5:$K$517, Scorecards!$B$5:$B$517, "CN", Scorecards!$F$5:$F$517, "1.3")</f>
        <v>2</v>
      </c>
      <c r="R8" s="140">
        <f>SUMIFS(Scorecards!$K$5:$K$517, Scorecards!$B$5:$B$517, "CNG", Scorecards!$F$5:$F$517, "1.3")</f>
        <v>2</v>
      </c>
      <c r="S8" s="140">
        <v>2</v>
      </c>
      <c r="T8" s="140">
        <f>SUMIFS(Scorecards!$K$5:$K$517, Scorecards!$B$5:$B$517, "CP", Scorecards!$F$5:$F$517, "1.3")</f>
        <v>2</v>
      </c>
      <c r="U8" s="140">
        <v>2</v>
      </c>
      <c r="V8" s="140">
        <f>SUMIFS(Scorecards!$K$5:$K$517, Scorecards!$B$5:$B$517, "SCS", Scorecards!$F$5:$F$517, "1.3")</f>
        <v>2</v>
      </c>
      <c r="W8" s="140">
        <f>SUMIFS(Scorecards!$K$5:$K$517, Scorecards!$B$5:$B$517, "SP", Scorecards!$F$5:$F$517, "1.3")</f>
        <v>2</v>
      </c>
      <c r="X8" s="120">
        <f t="shared" si="0"/>
        <v>2</v>
      </c>
      <c r="Y8" s="119">
        <f>MAX(U8:'CARE Results'!W8)</f>
        <v>2</v>
      </c>
      <c r="Z8" s="128">
        <f t="shared" ref="Z8:Z14" si="11">X8/Y8</f>
        <v>1</v>
      </c>
      <c r="AA8" s="110"/>
      <c r="AB8" s="113">
        <f t="shared" si="1"/>
        <v>1</v>
      </c>
      <c r="AC8" s="113">
        <f t="shared" si="2"/>
        <v>1</v>
      </c>
      <c r="AD8" s="113">
        <f t="shared" si="3"/>
        <v>1</v>
      </c>
      <c r="AE8" s="113">
        <f t="shared" si="4"/>
        <v>1</v>
      </c>
      <c r="AF8" s="113">
        <f t="shared" si="5"/>
        <v>1</v>
      </c>
      <c r="AG8" s="113">
        <f t="shared" si="6"/>
        <v>1</v>
      </c>
      <c r="AH8" s="113">
        <f t="shared" si="7"/>
        <v>1</v>
      </c>
      <c r="AI8" s="113">
        <f t="shared" si="8"/>
        <v>1</v>
      </c>
      <c r="AJ8" s="113">
        <f t="shared" si="9"/>
        <v>1</v>
      </c>
      <c r="AK8" s="129">
        <f t="shared" si="10"/>
        <v>1</v>
      </c>
      <c r="AO8" s="144" t="s">
        <v>672</v>
      </c>
    </row>
    <row r="9" spans="2:41" ht="28.5" customHeight="1" x14ac:dyDescent="0.25">
      <c r="B9" s="178"/>
      <c r="C9" s="180"/>
      <c r="D9" s="5">
        <v>1.4</v>
      </c>
      <c r="E9" s="118" t="s">
        <v>647</v>
      </c>
      <c r="F9" s="122" t="s">
        <v>590</v>
      </c>
      <c r="G9" s="118" t="s">
        <v>591</v>
      </c>
      <c r="H9" s="118" t="s">
        <v>592</v>
      </c>
      <c r="I9" s="118" t="s">
        <v>593</v>
      </c>
      <c r="J9" s="118" t="s">
        <v>594</v>
      </c>
      <c r="K9" s="118" t="s">
        <v>592</v>
      </c>
      <c r="L9" s="118" t="s">
        <v>595</v>
      </c>
      <c r="M9" s="118" t="s">
        <v>592</v>
      </c>
      <c r="N9" s="118" t="s">
        <v>592</v>
      </c>
      <c r="O9" s="140">
        <v>2</v>
      </c>
      <c r="P9" s="140">
        <f>SUMIFS(Scorecards!$K$5:$K$517, Scorecards!$B$5:$B$517, "CIP", Scorecards!$F$5:$F$517, "1.4")</f>
        <v>2</v>
      </c>
      <c r="Q9" s="141">
        <f>SUMIFS(Scorecards!$K$5:$K$517, Scorecards!$B$5:$B$517, "CN", Scorecards!$F$5:$F$517, "1.4")</f>
        <v>1</v>
      </c>
      <c r="R9" s="140">
        <f>SUMIFS(Scorecards!$K$5:$K$517, Scorecards!$B$5:$B$517, "CNG", Scorecards!$F$5:$F$517, "1.4")</f>
        <v>2</v>
      </c>
      <c r="S9" s="141">
        <v>1</v>
      </c>
      <c r="T9" s="141">
        <f>SUMIFS(Scorecards!$K$5:$K$517, Scorecards!$B$5:$B$517, "CP", Scorecards!$F$5:$F$517, "1.4")</f>
        <v>1</v>
      </c>
      <c r="U9" s="141">
        <v>1.5</v>
      </c>
      <c r="V9" s="141">
        <f>SUMIFS(Scorecards!$K$5:$K$517, Scorecards!$B$5:$B$517, "SCS", Scorecards!$F$5:$F$517, "1.4")</f>
        <v>1</v>
      </c>
      <c r="W9" s="141">
        <f>SUMIFS(Scorecards!$K$5:$K$517, Scorecards!$B$5:$B$517, "SP", Scorecards!$F$5:$F$517, "1.4")</f>
        <v>1</v>
      </c>
      <c r="X9" s="120">
        <f t="shared" si="0"/>
        <v>1.3888888888888888</v>
      </c>
      <c r="Y9" s="119">
        <v>2</v>
      </c>
      <c r="Z9" s="128">
        <f t="shared" si="11"/>
        <v>0.69444444444444442</v>
      </c>
      <c r="AA9" s="110"/>
      <c r="AB9" s="113">
        <f t="shared" si="1"/>
        <v>1</v>
      </c>
      <c r="AC9" s="113">
        <f t="shared" si="2"/>
        <v>1</v>
      </c>
      <c r="AD9" s="114">
        <f t="shared" si="3"/>
        <v>0.5</v>
      </c>
      <c r="AE9" s="113">
        <f t="shared" si="4"/>
        <v>1</v>
      </c>
      <c r="AF9" s="114">
        <f t="shared" si="5"/>
        <v>0.5</v>
      </c>
      <c r="AG9" s="114">
        <f t="shared" si="6"/>
        <v>0.5</v>
      </c>
      <c r="AH9" s="114">
        <f t="shared" si="7"/>
        <v>0.75</v>
      </c>
      <c r="AI9" s="114">
        <f t="shared" si="8"/>
        <v>0.5</v>
      </c>
      <c r="AJ9" s="114">
        <f t="shared" si="9"/>
        <v>0.5</v>
      </c>
      <c r="AK9" s="129">
        <f t="shared" si="10"/>
        <v>0.69444444444444442</v>
      </c>
      <c r="AO9" s="145" t="s">
        <v>673</v>
      </c>
    </row>
    <row r="10" spans="2:41" ht="28.5" customHeight="1" x14ac:dyDescent="0.25">
      <c r="B10" s="178"/>
      <c r="C10" s="180"/>
      <c r="D10" s="5">
        <v>1.5</v>
      </c>
      <c r="E10" s="118" t="s">
        <v>648</v>
      </c>
      <c r="F10" s="118" t="s">
        <v>597</v>
      </c>
      <c r="G10" s="118" t="s">
        <v>597</v>
      </c>
      <c r="H10" s="118" t="s">
        <v>597</v>
      </c>
      <c r="I10" s="118" t="s">
        <v>596</v>
      </c>
      <c r="J10" s="118" t="s">
        <v>598</v>
      </c>
      <c r="K10" s="118" t="s">
        <v>597</v>
      </c>
      <c r="L10" s="118" t="s">
        <v>601</v>
      </c>
      <c r="M10" s="118" t="s">
        <v>602</v>
      </c>
      <c r="N10" s="118" t="s">
        <v>598</v>
      </c>
      <c r="O10" s="140">
        <v>9</v>
      </c>
      <c r="P10" s="140">
        <f>SUMIFS(Scorecards!$K$5:$K$517, Scorecards!$B$5:$B$517, "CIP", Scorecards!$F$5:$F$517, "1.5")</f>
        <v>9</v>
      </c>
      <c r="Q10" s="140">
        <f>SUMIFS(Scorecards!$K$5:$K$517, Scorecards!$B$5:$B$517, "CN", Scorecards!$F$5:$F$517, "1.5")</f>
        <v>9</v>
      </c>
      <c r="R10" s="140">
        <f>SUMIFS(Scorecards!$K$5:$K$517, Scorecards!$B$5:$B$517, "CNG", Scorecards!$F$5:$F$517, "1.5")</f>
        <v>9</v>
      </c>
      <c r="S10" s="141">
        <v>6</v>
      </c>
      <c r="T10" s="140">
        <f>SUMIFS(Scorecards!$K$5:$K$517, Scorecards!$B$5:$B$517, "CP", Scorecards!$F$5:$F$517, "1.5")</f>
        <v>9</v>
      </c>
      <c r="U10" s="141">
        <v>6</v>
      </c>
      <c r="V10" s="141">
        <f>SUMIFS(Scorecards!$K$5:$K$517, Scorecards!$B$5:$B$517, "SCS", Scorecards!$F$5:$F$517, "1.5")</f>
        <v>6</v>
      </c>
      <c r="W10" s="140">
        <f>SUMIFS(Scorecards!$K$5:$K$517, Scorecards!$B$5:$B$517, "SP", Scorecards!$F$5:$F$517, "1.5")</f>
        <v>9</v>
      </c>
      <c r="X10" s="120">
        <f t="shared" si="0"/>
        <v>8</v>
      </c>
      <c r="Y10" s="119">
        <v>9</v>
      </c>
      <c r="Z10" s="128">
        <f t="shared" si="11"/>
        <v>0.88888888888888884</v>
      </c>
      <c r="AA10" s="110"/>
      <c r="AB10" s="113">
        <f t="shared" si="1"/>
        <v>1</v>
      </c>
      <c r="AC10" s="113">
        <f t="shared" si="2"/>
        <v>1</v>
      </c>
      <c r="AD10" s="113">
        <f t="shared" si="3"/>
        <v>1</v>
      </c>
      <c r="AE10" s="113">
        <f t="shared" si="4"/>
        <v>1</v>
      </c>
      <c r="AF10" s="114">
        <f t="shared" si="5"/>
        <v>0.66666666666666663</v>
      </c>
      <c r="AG10" s="113">
        <f t="shared" si="6"/>
        <v>1</v>
      </c>
      <c r="AH10" s="114">
        <f t="shared" si="7"/>
        <v>0.66666666666666663</v>
      </c>
      <c r="AI10" s="114">
        <f t="shared" si="8"/>
        <v>0.66666666666666663</v>
      </c>
      <c r="AJ10" s="113">
        <f t="shared" si="9"/>
        <v>1</v>
      </c>
      <c r="AK10" s="129">
        <f t="shared" si="10"/>
        <v>0.88888888888888884</v>
      </c>
      <c r="AO10" s="5" t="s">
        <v>674</v>
      </c>
    </row>
    <row r="11" spans="2:41" ht="28.5" customHeight="1" x14ac:dyDescent="0.25">
      <c r="B11" s="178"/>
      <c r="C11" s="180"/>
      <c r="D11" s="5">
        <v>1.6</v>
      </c>
      <c r="E11" s="118" t="s">
        <v>649</v>
      </c>
      <c r="F11" s="118" t="s">
        <v>200</v>
      </c>
      <c r="G11" s="118" t="s">
        <v>199</v>
      </c>
      <c r="H11" s="118" t="s">
        <v>198</v>
      </c>
      <c r="I11" s="118" t="s">
        <v>197</v>
      </c>
      <c r="J11" s="118" t="s">
        <v>198</v>
      </c>
      <c r="K11" s="118" t="s">
        <v>198</v>
      </c>
      <c r="L11" s="118" t="s">
        <v>195</v>
      </c>
      <c r="M11" s="118" t="s">
        <v>197</v>
      </c>
      <c r="N11" s="118" t="s">
        <v>196</v>
      </c>
      <c r="O11" s="140">
        <v>9</v>
      </c>
      <c r="P11" s="141">
        <f>SUMIFS(Scorecards!$K$5:$K$517, Scorecards!$B$5:$B$517, "CIP", Scorecards!$F$5:$F$517, "1.6")</f>
        <v>3</v>
      </c>
      <c r="Q11" s="141">
        <f>SUMIFS(Scorecards!$K$5:$K$517, Scorecards!$B$5:$B$517, "CN", Scorecards!$F$5:$F$517, "1.6")</f>
        <v>3</v>
      </c>
      <c r="R11" s="140">
        <f>SUMIFS(Scorecards!$K$5:$K$517, Scorecards!$B$5:$B$517, "CNG", Scorecards!$F$5:$F$517, "1.6")</f>
        <v>9</v>
      </c>
      <c r="S11" s="141">
        <v>3</v>
      </c>
      <c r="T11" s="141">
        <f>SUMIFS(Scorecards!$K$5:$K$517, Scorecards!$B$5:$B$517, "CP", Scorecards!$F$5:$F$517, "1.6")</f>
        <v>6</v>
      </c>
      <c r="U11" s="141">
        <v>6</v>
      </c>
      <c r="V11" s="141">
        <f>SUMIFS(Scorecards!$K$5:$K$517, Scorecards!$B$5:$B$517, "SCS", Scorecards!$F$5:$F$517, "1.6")</f>
        <v>6</v>
      </c>
      <c r="W11" s="141">
        <f>SUMIFS(Scorecards!$K$5:$K$517, Scorecards!$B$5:$B$517, "SP", Scorecards!$F$5:$F$517, "1.6")</f>
        <v>6</v>
      </c>
      <c r="X11" s="120">
        <f t="shared" si="0"/>
        <v>5.666666666666667</v>
      </c>
      <c r="Y11" s="119">
        <v>9</v>
      </c>
      <c r="Z11" s="128">
        <f t="shared" si="11"/>
        <v>0.62962962962962965</v>
      </c>
      <c r="AA11" s="110"/>
      <c r="AB11" s="113">
        <f t="shared" si="1"/>
        <v>1</v>
      </c>
      <c r="AC11" s="114">
        <f t="shared" si="2"/>
        <v>0.33333333333333331</v>
      </c>
      <c r="AD11" s="114">
        <f t="shared" si="3"/>
        <v>0.33333333333333331</v>
      </c>
      <c r="AE11" s="113">
        <f t="shared" si="4"/>
        <v>1</v>
      </c>
      <c r="AF11" s="114">
        <f t="shared" si="5"/>
        <v>0.33333333333333331</v>
      </c>
      <c r="AG11" s="114">
        <f t="shared" si="6"/>
        <v>0.66666666666666663</v>
      </c>
      <c r="AH11" s="114">
        <f t="shared" si="7"/>
        <v>0.66666666666666663</v>
      </c>
      <c r="AI11" s="114">
        <f t="shared" si="8"/>
        <v>0.66666666666666663</v>
      </c>
      <c r="AJ11" s="114">
        <f t="shared" si="9"/>
        <v>0.66666666666666663</v>
      </c>
      <c r="AK11" s="129">
        <f t="shared" si="10"/>
        <v>0.62962962962962965</v>
      </c>
    </row>
    <row r="12" spans="2:41" ht="36" customHeight="1" x14ac:dyDescent="0.25">
      <c r="B12" s="178"/>
      <c r="C12" s="180"/>
      <c r="D12" s="5">
        <v>1.7</v>
      </c>
      <c r="E12" s="118" t="s">
        <v>650</v>
      </c>
      <c r="F12" s="118" t="s">
        <v>603</v>
      </c>
      <c r="G12" s="118" t="s">
        <v>201</v>
      </c>
      <c r="H12" s="118" t="s">
        <v>201</v>
      </c>
      <c r="I12" s="118" t="s">
        <v>201</v>
      </c>
      <c r="J12" s="118" t="s">
        <v>203</v>
      </c>
      <c r="K12" s="118" t="s">
        <v>201</v>
      </c>
      <c r="L12" s="118" t="s">
        <v>201</v>
      </c>
      <c r="M12" s="118" t="s">
        <v>202</v>
      </c>
      <c r="N12" s="118" t="s">
        <v>201</v>
      </c>
      <c r="O12" s="140">
        <v>9</v>
      </c>
      <c r="P12" s="141">
        <f>SUMIFS(Scorecards!$K$5:$K$517, Scorecards!$B$5:$B$517, "CIP", Scorecards!$F$5:$F$517, "1.7")</f>
        <v>8</v>
      </c>
      <c r="Q12" s="141">
        <f>SUMIFS(Scorecards!$K$5:$K$517, Scorecards!$B$5:$B$517, "CN", Scorecards!$F$5:$F$517, "1.7")</f>
        <v>8</v>
      </c>
      <c r="R12" s="141">
        <f>SUMIFS(Scorecards!$K$5:$K$517, Scorecards!$B$5:$B$517, "CNG", Scorecards!$F$5:$F$517, "1.7")</f>
        <v>8</v>
      </c>
      <c r="S12" s="141">
        <v>3</v>
      </c>
      <c r="T12" s="141">
        <f>SUMIFS(Scorecards!$K$5:$K$517, Scorecards!$B$5:$B$517, "CP", Scorecards!$F$5:$F$517, "1.7")</f>
        <v>8</v>
      </c>
      <c r="U12" s="141">
        <v>8</v>
      </c>
      <c r="V12" s="141">
        <f>SUMIFS(Scorecards!$K$5:$K$517, Scorecards!$B$5:$B$517, "SCS", Scorecards!$F$5:$F$517, "1.7")</f>
        <v>6</v>
      </c>
      <c r="W12" s="141">
        <f>SUMIFS(Scorecards!$K$5:$K$517, Scorecards!$B$5:$B$517, "SP", Scorecards!$F$5:$F$517, "1.7")</f>
        <v>8</v>
      </c>
      <c r="X12" s="120">
        <f t="shared" si="0"/>
        <v>7.333333333333333</v>
      </c>
      <c r="Y12" s="119">
        <v>9</v>
      </c>
      <c r="Z12" s="128">
        <f t="shared" si="11"/>
        <v>0.81481481481481477</v>
      </c>
      <c r="AA12" s="110"/>
      <c r="AB12" s="113">
        <f t="shared" si="1"/>
        <v>1</v>
      </c>
      <c r="AC12" s="114">
        <f t="shared" si="2"/>
        <v>0.88888888888888884</v>
      </c>
      <c r="AD12" s="114">
        <f t="shared" si="3"/>
        <v>0.88888888888888884</v>
      </c>
      <c r="AE12" s="114">
        <f t="shared" si="4"/>
        <v>0.88888888888888884</v>
      </c>
      <c r="AF12" s="114">
        <f t="shared" si="5"/>
        <v>0.33333333333333331</v>
      </c>
      <c r="AG12" s="114">
        <f t="shared" si="6"/>
        <v>0.88888888888888884</v>
      </c>
      <c r="AH12" s="114">
        <f t="shared" si="7"/>
        <v>0.88888888888888884</v>
      </c>
      <c r="AI12" s="114">
        <f t="shared" si="8"/>
        <v>0.66666666666666663</v>
      </c>
      <c r="AJ12" s="114">
        <f t="shared" si="9"/>
        <v>0.88888888888888884</v>
      </c>
      <c r="AK12" s="129">
        <f t="shared" si="10"/>
        <v>0.81481481481481488</v>
      </c>
    </row>
    <row r="13" spans="2:41" ht="28.5" customHeight="1" x14ac:dyDescent="0.25">
      <c r="B13" s="178"/>
      <c r="C13" s="180"/>
      <c r="D13" s="5">
        <v>1.8</v>
      </c>
      <c r="E13" s="118" t="s">
        <v>49</v>
      </c>
      <c r="F13" s="118" t="s">
        <v>209</v>
      </c>
      <c r="G13" s="118" t="s">
        <v>205</v>
      </c>
      <c r="H13" s="118" t="s">
        <v>204</v>
      </c>
      <c r="I13" s="118" t="s">
        <v>206</v>
      </c>
      <c r="J13" s="118" t="s">
        <v>208</v>
      </c>
      <c r="K13" s="118" t="s">
        <v>207</v>
      </c>
      <c r="L13" s="118" t="s">
        <v>204</v>
      </c>
      <c r="M13" s="118" t="s">
        <v>204</v>
      </c>
      <c r="N13" s="118" t="s">
        <v>205</v>
      </c>
      <c r="O13" s="140">
        <v>10</v>
      </c>
      <c r="P13" s="140">
        <f>SUMIFS(Scorecards!$K$5:$K$517, Scorecards!$B$5:$B$517, "CIP", Scorecards!$F$5:$F$517, "1.8")</f>
        <v>10</v>
      </c>
      <c r="Q13" s="141">
        <f>SUMIFS(Scorecards!$K$5:$K$517, Scorecards!$B$5:$B$517, "CN", Scorecards!$F$5:$F$517, "1.8")</f>
        <v>9</v>
      </c>
      <c r="R13" s="140">
        <f>SUMIFS(Scorecards!$K$5:$K$517, Scorecards!$B$5:$B$517, "CNG", Scorecards!$F$5:$F$517, "1.8")</f>
        <v>10</v>
      </c>
      <c r="S13" s="141">
        <v>5</v>
      </c>
      <c r="T13" s="141">
        <f>SUMIFS(Scorecards!$K$5:$K$517, Scorecards!$B$5:$B$517, "CP", Scorecards!$F$5:$F$517, "1.8")</f>
        <v>9</v>
      </c>
      <c r="U13" s="141">
        <v>8</v>
      </c>
      <c r="V13" s="141">
        <f>SUMIFS(Scorecards!$K$5:$K$517, Scorecards!$B$5:$B$517, "SCS", Scorecards!$F$5:$F$517, "1.8")</f>
        <v>9</v>
      </c>
      <c r="W13" s="141">
        <f>SUMIFS(Scorecards!$K$5:$K$517, Scorecards!$B$5:$B$517, "SP", Scorecards!$F$5:$F$517, "1.8")</f>
        <v>9</v>
      </c>
      <c r="X13" s="120">
        <f t="shared" si="0"/>
        <v>8.7777777777777786</v>
      </c>
      <c r="Y13" s="119">
        <v>10</v>
      </c>
      <c r="Z13" s="128">
        <f t="shared" si="11"/>
        <v>0.87777777777777788</v>
      </c>
      <c r="AA13" s="110"/>
      <c r="AB13" s="113">
        <f t="shared" si="1"/>
        <v>1</v>
      </c>
      <c r="AC13" s="113">
        <f t="shared" si="2"/>
        <v>1</v>
      </c>
      <c r="AD13" s="114">
        <f t="shared" si="3"/>
        <v>0.9</v>
      </c>
      <c r="AE13" s="113">
        <f t="shared" si="4"/>
        <v>1</v>
      </c>
      <c r="AF13" s="114">
        <f t="shared" si="5"/>
        <v>0.5</v>
      </c>
      <c r="AG13" s="114">
        <f t="shared" si="6"/>
        <v>0.9</v>
      </c>
      <c r="AH13" s="114">
        <f t="shared" si="7"/>
        <v>0.8</v>
      </c>
      <c r="AI13" s="114">
        <f t="shared" si="8"/>
        <v>0.9</v>
      </c>
      <c r="AJ13" s="114">
        <f t="shared" si="9"/>
        <v>0.9</v>
      </c>
      <c r="AK13" s="129">
        <f t="shared" si="10"/>
        <v>0.87777777777777788</v>
      </c>
    </row>
    <row r="14" spans="2:41" ht="36" customHeight="1" x14ac:dyDescent="0.25">
      <c r="B14" s="178"/>
      <c r="C14" s="180"/>
      <c r="D14" s="5">
        <v>1.9</v>
      </c>
      <c r="E14" s="118" t="s">
        <v>651</v>
      </c>
      <c r="F14" s="118" t="s">
        <v>217</v>
      </c>
      <c r="G14" s="118" t="s">
        <v>217</v>
      </c>
      <c r="H14" s="118" t="s">
        <v>214</v>
      </c>
      <c r="I14" s="118" t="s">
        <v>212</v>
      </c>
      <c r="J14" s="118" t="s">
        <v>216</v>
      </c>
      <c r="K14" s="118" t="s">
        <v>215</v>
      </c>
      <c r="L14" s="118" t="s">
        <v>210</v>
      </c>
      <c r="M14" s="118" t="s">
        <v>213</v>
      </c>
      <c r="N14" s="118" t="s">
        <v>211</v>
      </c>
      <c r="O14" s="140">
        <v>5</v>
      </c>
      <c r="P14" s="140">
        <f>SUMIFS(Scorecards!$K$5:$K$517, Scorecards!$B$5:$B$517, "CIP", Scorecards!$F$5:$F$517, "1.9")</f>
        <v>5</v>
      </c>
      <c r="Q14" s="140">
        <f>SUMIFS(Scorecards!$K$5:$K$517, Scorecards!$B$5:$B$517, "CN", Scorecards!$F$5:$F$517, "1.9")</f>
        <v>5</v>
      </c>
      <c r="R14" s="140">
        <f>SUMIFS(Scorecards!$K$5:$K$517, Scorecards!$B$5:$B$517, "CNG", Scorecards!$F$5:$F$517, "1.9")</f>
        <v>5</v>
      </c>
      <c r="S14" s="141">
        <v>1</v>
      </c>
      <c r="T14" s="140">
        <f>SUMIFS(Scorecards!$K$5:$K$517, Scorecards!$B$5:$B$517, "CP", Scorecards!$F$5:$F$517, "1.9")</f>
        <v>5</v>
      </c>
      <c r="U14" s="140">
        <v>5</v>
      </c>
      <c r="V14" s="140">
        <f>SUMIFS(Scorecards!$K$5:$K$517, Scorecards!$B$5:$B$517, "SCS", Scorecards!$F$5:$F$517, "1.9")</f>
        <v>5</v>
      </c>
      <c r="W14" s="140">
        <f>SUMIFS(Scorecards!$K$5:$K$517, Scorecards!$B$5:$B$517, "SP", Scorecards!$F$5:$F$517, "1.9")</f>
        <v>5</v>
      </c>
      <c r="X14" s="120">
        <f t="shared" si="0"/>
        <v>4.5555555555555554</v>
      </c>
      <c r="Y14" s="119">
        <v>5</v>
      </c>
      <c r="Z14" s="128">
        <f t="shared" si="11"/>
        <v>0.91111111111111109</v>
      </c>
      <c r="AA14" s="110"/>
      <c r="AB14" s="113">
        <f t="shared" si="1"/>
        <v>1</v>
      </c>
      <c r="AC14" s="113">
        <f t="shared" si="2"/>
        <v>1</v>
      </c>
      <c r="AD14" s="113">
        <f t="shared" si="3"/>
        <v>1</v>
      </c>
      <c r="AE14" s="113">
        <f t="shared" si="4"/>
        <v>1</v>
      </c>
      <c r="AF14" s="114">
        <f t="shared" si="5"/>
        <v>0.2</v>
      </c>
      <c r="AG14" s="113">
        <f t="shared" si="6"/>
        <v>1</v>
      </c>
      <c r="AH14" s="113">
        <f t="shared" si="7"/>
        <v>1</v>
      </c>
      <c r="AI14" s="113">
        <f t="shared" si="8"/>
        <v>1</v>
      </c>
      <c r="AJ14" s="113">
        <f t="shared" si="9"/>
        <v>1</v>
      </c>
      <c r="AK14" s="129">
        <f t="shared" si="10"/>
        <v>0.91111111111111098</v>
      </c>
    </row>
    <row r="15" spans="2:41" ht="45" customHeight="1" x14ac:dyDescent="0.25">
      <c r="B15" s="179"/>
      <c r="C15" s="180"/>
      <c r="D15" s="101"/>
      <c r="E15" s="123" t="s">
        <v>688</v>
      </c>
      <c r="F15" s="124" t="e">
        <f>#REF!</f>
        <v>#REF!</v>
      </c>
      <c r="G15" s="124" t="e">
        <f>#REF!</f>
        <v>#REF!</v>
      </c>
      <c r="H15" s="124" t="e">
        <f>#REF!</f>
        <v>#REF!</v>
      </c>
      <c r="I15" s="124" t="e">
        <f>#REF!</f>
        <v>#REF!</v>
      </c>
      <c r="J15" s="124" t="e">
        <f>#REF!</f>
        <v>#REF!</v>
      </c>
      <c r="K15" s="124" t="e">
        <f>#REF!</f>
        <v>#REF!</v>
      </c>
      <c r="L15" s="124" t="e">
        <f>#REF!</f>
        <v>#REF!</v>
      </c>
      <c r="M15" s="124" t="e">
        <f>#REF!</f>
        <v>#REF!</v>
      </c>
      <c r="N15" s="124" t="e">
        <f>#REF!</f>
        <v>#REF!</v>
      </c>
      <c r="O15" s="125">
        <v>61</v>
      </c>
      <c r="P15" s="125">
        <f t="shared" ref="P15:Y15" si="12">SUM(P6:P14)</f>
        <v>53</v>
      </c>
      <c r="Q15" s="125">
        <f t="shared" si="12"/>
        <v>51</v>
      </c>
      <c r="R15" s="125">
        <f t="shared" si="12"/>
        <v>59</v>
      </c>
      <c r="S15" s="125">
        <f t="shared" si="12"/>
        <v>32</v>
      </c>
      <c r="T15" s="125">
        <f t="shared" si="12"/>
        <v>54</v>
      </c>
      <c r="U15" s="125">
        <f t="shared" si="12"/>
        <v>50.5</v>
      </c>
      <c r="V15" s="125">
        <f t="shared" si="12"/>
        <v>49</v>
      </c>
      <c r="W15" s="125">
        <f t="shared" si="12"/>
        <v>54</v>
      </c>
      <c r="X15" s="126">
        <f t="shared" si="12"/>
        <v>51.5</v>
      </c>
      <c r="Y15" s="127">
        <f t="shared" si="12"/>
        <v>61</v>
      </c>
      <c r="Z15" s="128">
        <f>X15/Y15</f>
        <v>0.84426229508196726</v>
      </c>
      <c r="AA15" s="117"/>
      <c r="AB15" s="129">
        <f t="shared" si="1"/>
        <v>1</v>
      </c>
      <c r="AC15" s="129">
        <f t="shared" si="2"/>
        <v>0.86885245901639341</v>
      </c>
      <c r="AD15" s="129">
        <f t="shared" si="3"/>
        <v>0.83606557377049184</v>
      </c>
      <c r="AE15" s="129">
        <f t="shared" si="4"/>
        <v>0.96721311475409832</v>
      </c>
      <c r="AF15" s="129">
        <f t="shared" si="5"/>
        <v>0.52459016393442626</v>
      </c>
      <c r="AG15" s="129">
        <f t="shared" si="6"/>
        <v>0.88524590163934425</v>
      </c>
      <c r="AH15" s="129">
        <f t="shared" si="7"/>
        <v>0.82786885245901642</v>
      </c>
      <c r="AI15" s="129">
        <f t="shared" si="8"/>
        <v>0.80327868852459017</v>
      </c>
      <c r="AJ15" s="129">
        <f t="shared" si="9"/>
        <v>0.88524590163934425</v>
      </c>
      <c r="AK15" s="129">
        <f t="shared" si="10"/>
        <v>0.84426229508196715</v>
      </c>
    </row>
    <row r="16" spans="2:41" ht="36.6" customHeight="1" x14ac:dyDescent="0.25">
      <c r="B16" s="99"/>
      <c r="C16" s="99"/>
      <c r="D16" s="99"/>
      <c r="E16" s="100"/>
      <c r="F16" s="99"/>
      <c r="G16" s="99"/>
      <c r="H16" s="99"/>
      <c r="I16" s="99"/>
      <c r="J16" s="99"/>
      <c r="K16" s="99"/>
      <c r="L16" s="99"/>
      <c r="M16" s="99"/>
      <c r="N16" s="99"/>
      <c r="O16" s="150"/>
      <c r="P16" s="150"/>
      <c r="Q16" s="150"/>
      <c r="R16" s="150"/>
      <c r="S16" s="150"/>
      <c r="T16" s="150"/>
      <c r="U16" s="150"/>
      <c r="V16" s="150"/>
      <c r="W16" s="150"/>
      <c r="X16" s="150"/>
      <c r="Y16" s="150"/>
      <c r="Z16" s="138"/>
      <c r="AA16" s="111"/>
      <c r="AB16" s="108"/>
      <c r="AC16" s="108"/>
      <c r="AD16" s="108"/>
      <c r="AE16" s="108"/>
      <c r="AF16" s="108"/>
      <c r="AG16" s="108"/>
      <c r="AH16" s="108"/>
      <c r="AI16" s="108"/>
      <c r="AJ16" s="108"/>
      <c r="AK16" s="139"/>
    </row>
    <row r="17" spans="2:37" ht="28.5" x14ac:dyDescent="0.25">
      <c r="B17" s="168"/>
      <c r="C17" s="180" t="s">
        <v>67</v>
      </c>
      <c r="D17" s="5">
        <v>2.1</v>
      </c>
      <c r="E17" s="118" t="s">
        <v>642</v>
      </c>
      <c r="F17" s="118" t="s">
        <v>220</v>
      </c>
      <c r="G17" s="118" t="s">
        <v>220</v>
      </c>
      <c r="H17" s="118" t="s">
        <v>220</v>
      </c>
      <c r="I17" s="118" t="s">
        <v>220</v>
      </c>
      <c r="J17" s="118" t="s">
        <v>220</v>
      </c>
      <c r="K17" s="118" t="s">
        <v>221</v>
      </c>
      <c r="L17" s="130" t="s">
        <v>218</v>
      </c>
      <c r="M17" s="118" t="s">
        <v>409</v>
      </c>
      <c r="N17" s="118" t="s">
        <v>219</v>
      </c>
      <c r="O17" s="140">
        <v>2</v>
      </c>
      <c r="P17" s="140">
        <f>SUMIFS(Scorecards!$K$5:$K$517, Scorecards!$B$5:$B$517, "CIP", Scorecards!$F$5:$F$517, "2.1")</f>
        <v>2</v>
      </c>
      <c r="Q17" s="140">
        <f>SUMIFS(Scorecards!$K$5:$K$517, Scorecards!$B$5:$B$517, "CN", Scorecards!$F$5:$F$517, "2.1")</f>
        <v>2</v>
      </c>
      <c r="R17" s="140">
        <f>SUMIFS(Scorecards!$K$5:$K$517, Scorecards!$B$5:$B$517, "CNG", Scorecards!$F$5:$F$517, "2.1")</f>
        <v>2</v>
      </c>
      <c r="S17" s="140">
        <v>2</v>
      </c>
      <c r="T17" s="141">
        <f>SUMIFS(Scorecards!$K$5:$K$517, Scorecards!$B$5:$B$517, "CP", Scorecards!$F$5:$F$517, "2.1")</f>
        <v>1</v>
      </c>
      <c r="U17" s="141">
        <v>1</v>
      </c>
      <c r="V17" s="140">
        <f>SUMIFS(Scorecards!$K$5:$K$517, Scorecards!$B$5:$B$517, "SCS", Scorecards!$F$5:$F$517, "2.1")</f>
        <v>2</v>
      </c>
      <c r="W17" s="141">
        <f>SUMIFS(Scorecards!$K$5:$K$517, Scorecards!$B$5:$B$517, "SP", Scorecards!$F$5:$F$517, "2.1")</f>
        <v>1</v>
      </c>
      <c r="X17" s="131">
        <f t="shared" ref="X17:X24" si="13">AVERAGE(O17:W17)</f>
        <v>1.6666666666666667</v>
      </c>
      <c r="Y17" s="119">
        <v>2</v>
      </c>
      <c r="Z17" s="135">
        <f>X17/Y17</f>
        <v>0.83333333333333337</v>
      </c>
      <c r="AA17" s="112"/>
      <c r="AB17" s="113">
        <f t="shared" ref="AB17:AB26" si="14">O17/$Y17</f>
        <v>1</v>
      </c>
      <c r="AC17" s="113">
        <f t="shared" ref="AC17:AC26" si="15">P17/$Y17</f>
        <v>1</v>
      </c>
      <c r="AD17" s="113">
        <f t="shared" ref="AD17:AD26" si="16">Q17/$Y17</f>
        <v>1</v>
      </c>
      <c r="AE17" s="113">
        <f t="shared" ref="AE17:AE26" si="17">R17/$Y17</f>
        <v>1</v>
      </c>
      <c r="AF17" s="113">
        <f t="shared" ref="AF17:AF26" si="18">S17/$Y17</f>
        <v>1</v>
      </c>
      <c r="AG17" s="114">
        <f t="shared" ref="AG17:AG26" si="19">T17/$Y17</f>
        <v>0.5</v>
      </c>
      <c r="AH17" s="114">
        <f t="shared" ref="AH17:AH26" si="20">U17/$Y17</f>
        <v>0.5</v>
      </c>
      <c r="AI17" s="113">
        <f t="shared" ref="AI17:AI26" si="21">V17/$Y17</f>
        <v>1</v>
      </c>
      <c r="AJ17" s="114">
        <f t="shared" ref="AJ17:AJ26" si="22">W17/$Y17</f>
        <v>0.5</v>
      </c>
      <c r="AK17" s="129">
        <f t="shared" si="10"/>
        <v>0.83333333333333337</v>
      </c>
    </row>
    <row r="18" spans="2:37" ht="28.5" customHeight="1" x14ac:dyDescent="0.25">
      <c r="B18" s="169"/>
      <c r="C18" s="180"/>
      <c r="D18" s="5">
        <v>2.2000000000000002</v>
      </c>
      <c r="E18" s="118" t="s">
        <v>652</v>
      </c>
      <c r="F18" s="130" t="s">
        <v>223</v>
      </c>
      <c r="G18" s="130" t="s">
        <v>223</v>
      </c>
      <c r="H18" s="118" t="s">
        <v>223</v>
      </c>
      <c r="I18" s="118" t="s">
        <v>223</v>
      </c>
      <c r="J18" s="130" t="s">
        <v>222</v>
      </c>
      <c r="K18" s="118" t="s">
        <v>223</v>
      </c>
      <c r="L18" s="130" t="s">
        <v>222</v>
      </c>
      <c r="M18" s="118" t="s">
        <v>223</v>
      </c>
      <c r="N18" s="118" t="s">
        <v>223</v>
      </c>
      <c r="O18" s="141">
        <v>2</v>
      </c>
      <c r="P18" s="141">
        <f>SUMIFS(Scorecards!$K$5:$K$517, Scorecards!$B$5:$B$517, "CIP", Scorecards!$F$5:$F$517, "2.2")</f>
        <v>2</v>
      </c>
      <c r="Q18" s="141">
        <f>SUMIFS(Scorecards!$K$5:$K$517, Scorecards!$B$5:$B$517, "CN", Scorecards!$F$5:$F$517, "2.2")</f>
        <v>2</v>
      </c>
      <c r="R18" s="141">
        <f>SUMIFS(Scorecards!$K$5:$K$517, Scorecards!$B$5:$B$517, "CNG", Scorecards!$F$5:$F$517, "2.2")</f>
        <v>2</v>
      </c>
      <c r="S18" s="141">
        <v>2</v>
      </c>
      <c r="T18" s="141">
        <f>SUMIFS(Scorecards!$K$5:$K$517, Scorecards!$B$5:$B$517, "CP", Scorecards!$F$5:$F$517, "2.2")</f>
        <v>2</v>
      </c>
      <c r="U18" s="141">
        <v>1</v>
      </c>
      <c r="V18" s="141">
        <f>SUMIFS(Scorecards!$K$5:$K$517, Scorecards!$B$5:$B$517, "SCS", Scorecards!$F$5:$F$517, "2.2")</f>
        <v>2</v>
      </c>
      <c r="W18" s="141">
        <f>SUMIFS(Scorecards!$K$5:$K$517, Scorecards!$B$5:$B$517, "SP", Scorecards!$F$5:$F$517, "2.2")</f>
        <v>2</v>
      </c>
      <c r="X18" s="131">
        <f t="shared" si="13"/>
        <v>1.8888888888888888</v>
      </c>
      <c r="Y18" s="119">
        <v>3</v>
      </c>
      <c r="Z18" s="135">
        <f t="shared" ref="Z18:Z19" si="23">X18/Y18</f>
        <v>0.62962962962962965</v>
      </c>
      <c r="AA18" s="112"/>
      <c r="AB18" s="114">
        <f t="shared" si="14"/>
        <v>0.66666666666666663</v>
      </c>
      <c r="AC18" s="114">
        <f t="shared" si="15"/>
        <v>0.66666666666666663</v>
      </c>
      <c r="AD18" s="114">
        <f t="shared" si="16"/>
        <v>0.66666666666666663</v>
      </c>
      <c r="AE18" s="114">
        <f t="shared" si="17"/>
        <v>0.66666666666666663</v>
      </c>
      <c r="AF18" s="114">
        <f t="shared" si="18"/>
        <v>0.66666666666666663</v>
      </c>
      <c r="AG18" s="114">
        <f t="shared" si="19"/>
        <v>0.66666666666666663</v>
      </c>
      <c r="AH18" s="114">
        <f t="shared" si="20"/>
        <v>0.33333333333333331</v>
      </c>
      <c r="AI18" s="114">
        <f t="shared" si="21"/>
        <v>0.66666666666666663</v>
      </c>
      <c r="AJ18" s="114">
        <f t="shared" si="22"/>
        <v>0.66666666666666663</v>
      </c>
      <c r="AK18" s="129">
        <f t="shared" si="10"/>
        <v>0.62962962962962965</v>
      </c>
    </row>
    <row r="19" spans="2:37" ht="28.5" customHeight="1" x14ac:dyDescent="0.25">
      <c r="B19" s="169"/>
      <c r="C19" s="180"/>
      <c r="D19" s="5">
        <v>2.2999999999999998</v>
      </c>
      <c r="E19" s="118" t="s">
        <v>653</v>
      </c>
      <c r="F19" s="118" t="s">
        <v>224</v>
      </c>
      <c r="G19" s="118" t="s">
        <v>223</v>
      </c>
      <c r="H19" s="118" t="s">
        <v>223</v>
      </c>
      <c r="I19" s="118" t="s">
        <v>223</v>
      </c>
      <c r="J19" s="118" t="s">
        <v>223</v>
      </c>
      <c r="K19" s="118" t="s">
        <v>223</v>
      </c>
      <c r="L19" s="130" t="s">
        <v>222</v>
      </c>
      <c r="M19" s="118" t="s">
        <v>223</v>
      </c>
      <c r="N19" s="118" t="s">
        <v>223</v>
      </c>
      <c r="O19" s="141">
        <v>2</v>
      </c>
      <c r="P19" s="141">
        <f>SUMIFS(Scorecards!$K$5:$K$517, Scorecards!$B$5:$B$517, "CIP", Scorecards!$F$5:$F$517, "2.3")</f>
        <v>2</v>
      </c>
      <c r="Q19" s="141">
        <f>SUMIFS(Scorecards!$K$5:$K$517, Scorecards!$B$5:$B$517, "CN", Scorecards!$F$5:$F$517, "2.3")</f>
        <v>2</v>
      </c>
      <c r="R19" s="141">
        <f>SUMIFS(Scorecards!$K$5:$K$517, Scorecards!$B$5:$B$517, "CNG", Scorecards!$F$5:$F$517, "2.3")</f>
        <v>2</v>
      </c>
      <c r="S19" s="141">
        <v>2</v>
      </c>
      <c r="T19" s="141">
        <f>SUMIFS(Scorecards!$K$5:$K$517, Scorecards!$B$5:$B$517, "CP", Scorecards!$F$5:$F$517, "2.3")</f>
        <v>2</v>
      </c>
      <c r="U19" s="141">
        <v>1</v>
      </c>
      <c r="V19" s="141">
        <f>SUMIFS(Scorecards!$K$5:$K$517, Scorecards!$B$5:$B$517, "SCS", Scorecards!$F$5:$F$517, "2.3")</f>
        <v>2</v>
      </c>
      <c r="W19" s="141">
        <f>SUMIFS(Scorecards!$K$5:$K$517, Scorecards!$B$5:$B$517, "SP", Scorecards!$F$5:$F$517, "2.3")</f>
        <v>2</v>
      </c>
      <c r="X19" s="131">
        <f t="shared" si="13"/>
        <v>1.8888888888888888</v>
      </c>
      <c r="Y19" s="119">
        <v>3</v>
      </c>
      <c r="Z19" s="135">
        <f t="shared" si="23"/>
        <v>0.62962962962962965</v>
      </c>
      <c r="AA19" s="112"/>
      <c r="AB19" s="114">
        <f t="shared" si="14"/>
        <v>0.66666666666666663</v>
      </c>
      <c r="AC19" s="114">
        <f t="shared" si="15"/>
        <v>0.66666666666666663</v>
      </c>
      <c r="AD19" s="114">
        <f t="shared" si="16"/>
        <v>0.66666666666666663</v>
      </c>
      <c r="AE19" s="114">
        <f t="shared" si="17"/>
        <v>0.66666666666666663</v>
      </c>
      <c r="AF19" s="114">
        <f t="shared" si="18"/>
        <v>0.66666666666666663</v>
      </c>
      <c r="AG19" s="114">
        <f t="shared" si="19"/>
        <v>0.66666666666666663</v>
      </c>
      <c r="AH19" s="114">
        <f t="shared" si="20"/>
        <v>0.33333333333333331</v>
      </c>
      <c r="AI19" s="114">
        <f t="shared" si="21"/>
        <v>0.66666666666666663</v>
      </c>
      <c r="AJ19" s="114">
        <f t="shared" si="22"/>
        <v>0.66666666666666663</v>
      </c>
      <c r="AK19" s="129">
        <f t="shared" si="10"/>
        <v>0.62962962962962965</v>
      </c>
    </row>
    <row r="20" spans="2:37" ht="28.5" customHeight="1" x14ac:dyDescent="0.25">
      <c r="B20" s="169"/>
      <c r="C20" s="180"/>
      <c r="D20" s="5">
        <v>2.4</v>
      </c>
      <c r="E20" s="118" t="s">
        <v>654</v>
      </c>
      <c r="F20" s="118" t="s">
        <v>224</v>
      </c>
      <c r="G20" s="118" t="s">
        <v>224</v>
      </c>
      <c r="H20" s="118" t="s">
        <v>224</v>
      </c>
      <c r="I20" s="118" t="s">
        <v>224</v>
      </c>
      <c r="J20" s="118" t="s">
        <v>224</v>
      </c>
      <c r="K20" s="118" t="s">
        <v>224</v>
      </c>
      <c r="L20" s="130" t="s">
        <v>224</v>
      </c>
      <c r="M20" s="118" t="s">
        <v>224</v>
      </c>
      <c r="N20" s="118" t="s">
        <v>224</v>
      </c>
      <c r="O20" s="140">
        <v>3</v>
      </c>
      <c r="P20" s="140">
        <f>SUMIFS(Scorecards!$K$5:$K$517, Scorecards!$B$5:$B$517, "CIP", Scorecards!$F$5:$F$517, "2.4")</f>
        <v>3</v>
      </c>
      <c r="Q20" s="140">
        <f>SUMIFS(Scorecards!$K$5:$K$517, Scorecards!$B$5:$B$517, "CN", Scorecards!$F$5:$F$517, "2.4")</f>
        <v>3</v>
      </c>
      <c r="R20" s="140">
        <f>SUMIFS(Scorecards!$K$5:$K$517, Scorecards!$B$5:$B$517, "CNG", Scorecards!$F$5:$F$517, "2.4")</f>
        <v>3</v>
      </c>
      <c r="S20" s="140">
        <v>3</v>
      </c>
      <c r="T20" s="140">
        <f>SUMIFS(Scorecards!$K$5:$K$517, Scorecards!$B$5:$B$517, "CP", Scorecards!$F$5:$F$517, "2.4")</f>
        <v>3</v>
      </c>
      <c r="U20" s="140">
        <v>3</v>
      </c>
      <c r="V20" s="140">
        <f>SUMIFS(Scorecards!$K$5:$K$517, Scorecards!$B$5:$B$517, "SCS", Scorecards!$F$5:$F$517, "2.4")</f>
        <v>3</v>
      </c>
      <c r="W20" s="140">
        <f>SUMIFS(Scorecards!$K$5:$K$517, Scorecards!$B$5:$B$517, "SP", Scorecards!$F$5:$F$517, "2.4")</f>
        <v>3</v>
      </c>
      <c r="X20" s="131">
        <f t="shared" si="13"/>
        <v>3</v>
      </c>
      <c r="Y20" s="119">
        <v>3</v>
      </c>
      <c r="Z20" s="135">
        <f t="shared" ref="Z20:Z26" si="24">X20/Y20</f>
        <v>1</v>
      </c>
      <c r="AA20" s="112"/>
      <c r="AB20" s="113">
        <f t="shared" si="14"/>
        <v>1</v>
      </c>
      <c r="AC20" s="113">
        <f t="shared" si="15"/>
        <v>1</v>
      </c>
      <c r="AD20" s="113">
        <f t="shared" si="16"/>
        <v>1</v>
      </c>
      <c r="AE20" s="113">
        <f t="shared" si="17"/>
        <v>1</v>
      </c>
      <c r="AF20" s="113">
        <f t="shared" si="18"/>
        <v>1</v>
      </c>
      <c r="AG20" s="113">
        <f t="shared" si="19"/>
        <v>1</v>
      </c>
      <c r="AH20" s="113">
        <f t="shared" si="20"/>
        <v>1</v>
      </c>
      <c r="AI20" s="113">
        <f t="shared" si="21"/>
        <v>1</v>
      </c>
      <c r="AJ20" s="113">
        <f t="shared" si="22"/>
        <v>1</v>
      </c>
      <c r="AK20" s="129">
        <f t="shared" si="10"/>
        <v>1</v>
      </c>
    </row>
    <row r="21" spans="2:37" ht="28.5" customHeight="1" x14ac:dyDescent="0.25">
      <c r="B21" s="169"/>
      <c r="C21" s="180"/>
      <c r="D21" s="5">
        <v>2.5</v>
      </c>
      <c r="E21" s="118" t="s">
        <v>83</v>
      </c>
      <c r="F21" s="130" t="s">
        <v>225</v>
      </c>
      <c r="G21" s="130" t="s">
        <v>227</v>
      </c>
      <c r="H21" s="118" t="s">
        <v>226</v>
      </c>
      <c r="I21" s="130" t="s">
        <v>225</v>
      </c>
      <c r="J21" s="130" t="s">
        <v>226</v>
      </c>
      <c r="K21" s="130" t="s">
        <v>226</v>
      </c>
      <c r="L21" s="130" t="s">
        <v>225</v>
      </c>
      <c r="M21" s="118" t="s">
        <v>226</v>
      </c>
      <c r="N21" s="118" t="s">
        <v>226</v>
      </c>
      <c r="O21" s="140">
        <v>1</v>
      </c>
      <c r="P21" s="140">
        <f>SUMIFS(Scorecards!$K$5:$K$517, Scorecards!$B$5:$B$517, "CIP", Scorecards!$F$5:$F$517, "2.5")</f>
        <v>1</v>
      </c>
      <c r="Q21" s="148">
        <f>SUMIFS(Scorecards!$K$5:$K$517, Scorecards!$B$5:$B$517, "CN", Scorecards!$F$5:$F$517, "2.5")</f>
        <v>0</v>
      </c>
      <c r="R21" s="140">
        <f>SUMIFS(Scorecards!$K$5:$K$517, Scorecards!$B$5:$B$517, "CNG", Scorecards!$F$5:$F$517, "2.5")</f>
        <v>1</v>
      </c>
      <c r="S21" s="141">
        <v>0.5</v>
      </c>
      <c r="T21" s="143">
        <f>SUMIFS(Scorecards!$K$5:$K$517, Scorecards!$B$5:$B$517, "CP", Scorecards!$F$5:$F$517, "2.5")</f>
        <v>0.5</v>
      </c>
      <c r="U21" s="141">
        <v>0.5</v>
      </c>
      <c r="V21" s="141">
        <f>SUMIFS(Scorecards!$K$5:$K$517, Scorecards!$B$5:$B$517, "SCS", Scorecards!$F$5:$F$517, "2.5")</f>
        <v>0.5</v>
      </c>
      <c r="W21" s="143">
        <f>SUMIFS(Scorecards!$K$5:$K$517, Scorecards!$B$5:$B$517, "SP", Scorecards!$F$5:$F$517, "2.5")</f>
        <v>0.5</v>
      </c>
      <c r="X21" s="131">
        <f t="shared" si="13"/>
        <v>0.61111111111111116</v>
      </c>
      <c r="Y21" s="119">
        <v>1</v>
      </c>
      <c r="Z21" s="135">
        <f t="shared" si="24"/>
        <v>0.61111111111111116</v>
      </c>
      <c r="AA21" s="112"/>
      <c r="AB21" s="113">
        <f t="shared" si="14"/>
        <v>1</v>
      </c>
      <c r="AC21" s="113">
        <f t="shared" si="15"/>
        <v>1</v>
      </c>
      <c r="AD21" s="121">
        <f t="shared" si="16"/>
        <v>0</v>
      </c>
      <c r="AE21" s="113">
        <f t="shared" si="17"/>
        <v>1</v>
      </c>
      <c r="AF21" s="114">
        <f t="shared" si="18"/>
        <v>0.5</v>
      </c>
      <c r="AG21" s="114">
        <f t="shared" si="19"/>
        <v>0.5</v>
      </c>
      <c r="AH21" s="114">
        <f t="shared" si="20"/>
        <v>0.5</v>
      </c>
      <c r="AI21" s="114">
        <f t="shared" si="21"/>
        <v>0.5</v>
      </c>
      <c r="AJ21" s="114">
        <f t="shared" si="22"/>
        <v>0.5</v>
      </c>
      <c r="AK21" s="129">
        <f t="shared" si="10"/>
        <v>0.61111111111111116</v>
      </c>
    </row>
    <row r="22" spans="2:37" ht="28.5" customHeight="1" x14ac:dyDescent="0.25">
      <c r="B22" s="169"/>
      <c r="C22" s="180"/>
      <c r="D22" s="5">
        <v>2.6</v>
      </c>
      <c r="E22" s="118" t="s">
        <v>655</v>
      </c>
      <c r="F22" s="130" t="s">
        <v>225</v>
      </c>
      <c r="G22" s="130" t="s">
        <v>235</v>
      </c>
      <c r="H22" s="118" t="s">
        <v>232</v>
      </c>
      <c r="I22" s="130" t="s">
        <v>230</v>
      </c>
      <c r="J22" s="130" t="s">
        <v>234</v>
      </c>
      <c r="K22" s="130" t="s">
        <v>233</v>
      </c>
      <c r="L22" s="130" t="s">
        <v>228</v>
      </c>
      <c r="M22" s="130" t="s">
        <v>231</v>
      </c>
      <c r="N22" s="118" t="s">
        <v>229</v>
      </c>
      <c r="O22" s="140">
        <v>2</v>
      </c>
      <c r="P22" s="140">
        <f>SUMIFS(Scorecards!$K$5:$K$517, Scorecards!$B$5:$B$517, "CIP", Scorecards!$F$5:$F$517, "2.6")</f>
        <v>2</v>
      </c>
      <c r="Q22" s="141">
        <f>SUMIFS(Scorecards!$K$5:$K$517, Scorecards!$B$5:$B$517, "CN", Scorecards!$F$5:$F$517, "2.6")</f>
        <v>1</v>
      </c>
      <c r="R22" s="140">
        <f>SUMIFS(Scorecards!$K$5:$K$517, Scorecards!$B$5:$B$517, "CNG", Scorecards!$F$5:$F$517, "2.6")</f>
        <v>2</v>
      </c>
      <c r="S22" s="119">
        <v>0</v>
      </c>
      <c r="T22" s="141">
        <f>SUMIFS(Scorecards!$K$5:$K$517, Scorecards!$B$5:$B$517, "CP", Scorecards!$F$5:$F$517, "2.6")</f>
        <v>1</v>
      </c>
      <c r="U22" s="141">
        <v>1</v>
      </c>
      <c r="V22" s="140">
        <f>SUMIFS(Scorecards!$K$5:$K$517, Scorecards!$B$5:$B$517, "SCS", Scorecards!$F$5:$F$517, "2.6")</f>
        <v>2</v>
      </c>
      <c r="W22" s="141">
        <f>SUMIFS(Scorecards!$K$5:$K$517, Scorecards!$B$5:$B$517, "SP", Scorecards!$F$5:$F$517, "2.6")</f>
        <v>1</v>
      </c>
      <c r="X22" s="131">
        <f t="shared" si="13"/>
        <v>1.3333333333333333</v>
      </c>
      <c r="Y22" s="119">
        <v>2</v>
      </c>
      <c r="Z22" s="135">
        <f t="shared" si="24"/>
        <v>0.66666666666666663</v>
      </c>
      <c r="AA22" s="112"/>
      <c r="AB22" s="113">
        <f t="shared" si="14"/>
        <v>1</v>
      </c>
      <c r="AC22" s="113">
        <f t="shared" si="15"/>
        <v>1</v>
      </c>
      <c r="AD22" s="114">
        <f t="shared" si="16"/>
        <v>0.5</v>
      </c>
      <c r="AE22" s="113">
        <f t="shared" si="17"/>
        <v>1</v>
      </c>
      <c r="AF22" s="121">
        <f t="shared" si="18"/>
        <v>0</v>
      </c>
      <c r="AG22" s="114">
        <f t="shared" si="19"/>
        <v>0.5</v>
      </c>
      <c r="AH22" s="114">
        <f t="shared" si="20"/>
        <v>0.5</v>
      </c>
      <c r="AI22" s="113">
        <f t="shared" si="21"/>
        <v>1</v>
      </c>
      <c r="AJ22" s="114">
        <f t="shared" si="22"/>
        <v>0.5</v>
      </c>
      <c r="AK22" s="129">
        <f t="shared" si="10"/>
        <v>0.66666666666666663</v>
      </c>
    </row>
    <row r="23" spans="2:37" ht="28.5" customHeight="1" x14ac:dyDescent="0.25">
      <c r="B23" s="169"/>
      <c r="C23" s="180"/>
      <c r="D23" s="5">
        <v>2.7</v>
      </c>
      <c r="E23" s="118" t="s">
        <v>626</v>
      </c>
      <c r="F23" s="130" t="s">
        <v>226</v>
      </c>
      <c r="G23" s="130" t="s">
        <v>226</v>
      </c>
      <c r="H23" s="118" t="s">
        <v>238</v>
      </c>
      <c r="I23" s="130" t="s">
        <v>237</v>
      </c>
      <c r="J23" s="130" t="s">
        <v>226</v>
      </c>
      <c r="K23" s="130" t="s">
        <v>226</v>
      </c>
      <c r="L23" s="130" t="s">
        <v>236</v>
      </c>
      <c r="M23" s="118" t="s">
        <v>238</v>
      </c>
      <c r="N23" s="118" t="s">
        <v>226</v>
      </c>
      <c r="O23" s="119">
        <v>0</v>
      </c>
      <c r="P23" s="140">
        <f>SUMIFS(Scorecards!$K$5:$K$517, Scorecards!$B$5:$B$517, "CIP", Scorecards!$F$5:$F$517, "2.7")</f>
        <v>1</v>
      </c>
      <c r="Q23" s="119">
        <f>SUMIFS(Scorecards!$K$5:$K$517, Scorecards!$B$5:$B$517, "CN", Scorecards!$F$5:$F$517, "2.7")</f>
        <v>0</v>
      </c>
      <c r="R23" s="140">
        <f>SUMIFS(Scorecards!$K$5:$K$517, Scorecards!$B$5:$B$517, "CNG", Scorecards!$F$5:$F$517, "2.7")</f>
        <v>1</v>
      </c>
      <c r="S23" s="119">
        <v>0</v>
      </c>
      <c r="T23" s="119">
        <f>SUMIFS(Scorecards!$K$5:$K$517, Scorecards!$B$5:$B$517, "CP", Scorecards!$F$5:$F$517, "2.7")</f>
        <v>0</v>
      </c>
      <c r="U23" s="119">
        <v>0</v>
      </c>
      <c r="V23" s="141">
        <f>SUMIFS(Scorecards!$K$5:$K$517, Scorecards!$B$5:$B$517, "SCS", Scorecards!$F$5:$F$517, "2.7")</f>
        <v>0.5</v>
      </c>
      <c r="W23" s="119">
        <f>SUMIFS(Scorecards!$K$5:$K$517, Scorecards!$B$5:$B$517, "SP", Scorecards!$F$5:$F$517, "2.7")</f>
        <v>0</v>
      </c>
      <c r="X23" s="131">
        <f t="shared" si="13"/>
        <v>0.27777777777777779</v>
      </c>
      <c r="Y23" s="119">
        <v>1</v>
      </c>
      <c r="Z23" s="135">
        <f t="shared" si="24"/>
        <v>0.27777777777777779</v>
      </c>
      <c r="AA23" s="112"/>
      <c r="AB23" s="121">
        <f t="shared" si="14"/>
        <v>0</v>
      </c>
      <c r="AC23" s="113">
        <f t="shared" si="15"/>
        <v>1</v>
      </c>
      <c r="AD23" s="121">
        <f t="shared" si="16"/>
        <v>0</v>
      </c>
      <c r="AE23" s="113">
        <f t="shared" si="17"/>
        <v>1</v>
      </c>
      <c r="AF23" s="121">
        <f t="shared" si="18"/>
        <v>0</v>
      </c>
      <c r="AG23" s="121">
        <f t="shared" si="19"/>
        <v>0</v>
      </c>
      <c r="AH23" s="121">
        <f t="shared" si="20"/>
        <v>0</v>
      </c>
      <c r="AI23" s="114">
        <f t="shared" si="21"/>
        <v>0.5</v>
      </c>
      <c r="AJ23" s="121">
        <f t="shared" si="22"/>
        <v>0</v>
      </c>
      <c r="AK23" s="129">
        <f t="shared" si="10"/>
        <v>0.27777777777777779</v>
      </c>
    </row>
    <row r="24" spans="2:37" ht="28.5" customHeight="1" x14ac:dyDescent="0.25">
      <c r="B24" s="169"/>
      <c r="C24" s="180"/>
      <c r="D24" s="5">
        <v>2.8</v>
      </c>
      <c r="E24" s="118" t="s">
        <v>656</v>
      </c>
      <c r="F24" s="130" t="s">
        <v>242</v>
      </c>
      <c r="G24" s="118" t="s">
        <v>240</v>
      </c>
      <c r="H24" s="118" t="s">
        <v>240</v>
      </c>
      <c r="I24" s="130" t="s">
        <v>240</v>
      </c>
      <c r="J24" s="118" t="s">
        <v>240</v>
      </c>
      <c r="K24" s="130" t="s">
        <v>241</v>
      </c>
      <c r="L24" s="130" t="s">
        <v>239</v>
      </c>
      <c r="M24" s="130" t="s">
        <v>240</v>
      </c>
      <c r="N24" s="118" t="s">
        <v>240</v>
      </c>
      <c r="O24" s="140">
        <v>3</v>
      </c>
      <c r="P24" s="140">
        <f>SUMIFS(Scorecards!$K$5:$K$517, Scorecards!$B$5:$B$517, "CIP", Scorecards!$F$5:$F$517, "2.8")</f>
        <v>3</v>
      </c>
      <c r="Q24" s="140">
        <f>SUMIFS(Scorecards!$K$5:$K$517, Scorecards!$B$5:$B$517, "CN", Scorecards!$F$5:$F$517, "2.8")</f>
        <v>3</v>
      </c>
      <c r="R24" s="140">
        <f>SUMIFS(Scorecards!$K$5:$K$517, Scorecards!$B$5:$B$517, "CNG", Scorecards!$F$5:$F$517, "2.8")</f>
        <v>3</v>
      </c>
      <c r="S24" s="140">
        <v>3</v>
      </c>
      <c r="T24" s="140">
        <f>SUMIFS(Scorecards!$K$5:$K$517, Scorecards!$B$5:$B$517, "CP", Scorecards!$F$5:$F$517, "2.8")</f>
        <v>3</v>
      </c>
      <c r="U24" s="119">
        <v>0</v>
      </c>
      <c r="V24" s="140">
        <f>SUMIFS(Scorecards!$K$5:$K$517, Scorecards!$B$5:$B$517, "SCS", Scorecards!$F$5:$F$517, "2.8")</f>
        <v>3</v>
      </c>
      <c r="W24" s="140">
        <f>SUMIFS(Scorecards!$K$5:$K$517, Scorecards!$B$5:$B$517, "SP", Scorecards!$F$5:$F$517, "2.8")</f>
        <v>3</v>
      </c>
      <c r="X24" s="131">
        <f t="shared" si="13"/>
        <v>2.6666666666666665</v>
      </c>
      <c r="Y24" s="119">
        <v>3</v>
      </c>
      <c r="Z24" s="135">
        <f t="shared" si="24"/>
        <v>0.88888888888888884</v>
      </c>
      <c r="AA24" s="112"/>
      <c r="AB24" s="113">
        <f t="shared" si="14"/>
        <v>1</v>
      </c>
      <c r="AC24" s="113">
        <f t="shared" si="15"/>
        <v>1</v>
      </c>
      <c r="AD24" s="113">
        <f t="shared" si="16"/>
        <v>1</v>
      </c>
      <c r="AE24" s="113">
        <f t="shared" si="17"/>
        <v>1</v>
      </c>
      <c r="AF24" s="113">
        <f t="shared" si="18"/>
        <v>1</v>
      </c>
      <c r="AG24" s="113">
        <f t="shared" si="19"/>
        <v>1</v>
      </c>
      <c r="AH24" s="121">
        <f t="shared" si="20"/>
        <v>0</v>
      </c>
      <c r="AI24" s="113">
        <f t="shared" si="21"/>
        <v>1</v>
      </c>
      <c r="AJ24" s="113">
        <f t="shared" si="22"/>
        <v>1</v>
      </c>
      <c r="AK24" s="129">
        <f t="shared" si="10"/>
        <v>0.88888888888888884</v>
      </c>
    </row>
    <row r="25" spans="2:37" ht="28.5" customHeight="1" x14ac:dyDescent="0.25">
      <c r="B25" s="169"/>
      <c r="C25" s="180"/>
      <c r="D25" s="5">
        <v>2.9</v>
      </c>
      <c r="E25" s="118" t="s">
        <v>100</v>
      </c>
      <c r="F25" s="130" t="s">
        <v>246</v>
      </c>
      <c r="G25" s="130" t="s">
        <v>245</v>
      </c>
      <c r="H25" s="118" t="s">
        <v>226</v>
      </c>
      <c r="I25" s="130" t="s">
        <v>225</v>
      </c>
      <c r="J25" s="130" t="s">
        <v>226</v>
      </c>
      <c r="K25" s="130" t="s">
        <v>244</v>
      </c>
      <c r="L25" s="118" t="s">
        <v>226</v>
      </c>
      <c r="M25" s="130" t="s">
        <v>243</v>
      </c>
      <c r="N25" s="118" t="s">
        <v>226</v>
      </c>
      <c r="O25" s="119">
        <v>0</v>
      </c>
      <c r="P25" s="141">
        <f>SUMIFS(Scorecards!$K$5:$K$517, Scorecards!$B$5:$B$517, "CIP", Scorecards!$F$5:$F$517, "2.9")</f>
        <v>1.5</v>
      </c>
      <c r="Q25" s="141">
        <f>SUMIFS(Scorecards!$K$5:$K$517, Scorecards!$B$5:$B$517, "CN", Scorecards!$F$5:$F$517, "2.9")</f>
        <v>1</v>
      </c>
      <c r="R25" s="141">
        <f>SUMIFS(Scorecards!$K$5:$K$517, Scorecards!$B$5:$B$517, "CNG", Scorecards!$F$5:$F$517, "2.9")</f>
        <v>2</v>
      </c>
      <c r="S25" s="119">
        <v>0</v>
      </c>
      <c r="T25" s="141">
        <f>SUMIFS(Scorecards!$K$5:$K$517, Scorecards!$B$5:$B$517, "CP", Scorecards!$F$5:$F$517, "2.9")</f>
        <v>1.5</v>
      </c>
      <c r="U25" s="141">
        <v>1</v>
      </c>
      <c r="V25" s="141">
        <f>SUMIFS(Scorecards!$K$5:$K$517, Scorecards!$B$5:$B$517, "SCS", Scorecards!$F$5:$F$517, "2.9")</f>
        <v>1.5</v>
      </c>
      <c r="W25" s="141">
        <f>SUMIFS(Scorecards!$K$5:$K$517, Scorecards!$B$5:$B$517, "SP", Scorecards!$F$5:$F$517, "2.9")</f>
        <v>1</v>
      </c>
      <c r="X25" s="131">
        <f>AVERAGE(P25:W25)</f>
        <v>1.1875</v>
      </c>
      <c r="Y25" s="119">
        <v>3</v>
      </c>
      <c r="Z25" s="135">
        <f t="shared" si="24"/>
        <v>0.39583333333333331</v>
      </c>
      <c r="AA25" s="112"/>
      <c r="AB25" s="121">
        <f t="shared" si="14"/>
        <v>0</v>
      </c>
      <c r="AC25" s="114">
        <f t="shared" si="15"/>
        <v>0.5</v>
      </c>
      <c r="AD25" s="114">
        <f t="shared" si="16"/>
        <v>0.33333333333333331</v>
      </c>
      <c r="AE25" s="114">
        <f t="shared" si="17"/>
        <v>0.66666666666666663</v>
      </c>
      <c r="AF25" s="121">
        <f t="shared" si="18"/>
        <v>0</v>
      </c>
      <c r="AG25" s="114">
        <f t="shared" si="19"/>
        <v>0.5</v>
      </c>
      <c r="AH25" s="114">
        <f t="shared" si="20"/>
        <v>0.33333333333333331</v>
      </c>
      <c r="AI25" s="114">
        <f t="shared" si="21"/>
        <v>0.5</v>
      </c>
      <c r="AJ25" s="114">
        <f t="shared" si="22"/>
        <v>0.33333333333333331</v>
      </c>
      <c r="AK25" s="129">
        <f t="shared" si="10"/>
        <v>0.35185185185185186</v>
      </c>
    </row>
    <row r="26" spans="2:37" ht="28.5" customHeight="1" x14ac:dyDescent="0.25">
      <c r="B26" s="170"/>
      <c r="C26" s="180"/>
      <c r="D26" s="101"/>
      <c r="E26" s="132" t="s">
        <v>689</v>
      </c>
      <c r="F26" s="124"/>
      <c r="G26" s="124"/>
      <c r="H26" s="124"/>
      <c r="I26" s="124"/>
      <c r="J26" s="124"/>
      <c r="K26" s="124"/>
      <c r="L26" s="124"/>
      <c r="M26" s="124"/>
      <c r="N26" s="124"/>
      <c r="O26" s="133">
        <v>15</v>
      </c>
      <c r="P26" s="133">
        <f t="shared" ref="P26:Y26" si="25">SUM(P17:P25)</f>
        <v>17.5</v>
      </c>
      <c r="Q26" s="133">
        <f t="shared" si="25"/>
        <v>14</v>
      </c>
      <c r="R26" s="133">
        <f t="shared" si="25"/>
        <v>18</v>
      </c>
      <c r="S26" s="133">
        <f t="shared" si="25"/>
        <v>12.5</v>
      </c>
      <c r="T26" s="133">
        <f t="shared" si="25"/>
        <v>14</v>
      </c>
      <c r="U26" s="133">
        <f t="shared" si="25"/>
        <v>8.5</v>
      </c>
      <c r="V26" s="133">
        <f t="shared" si="25"/>
        <v>16.5</v>
      </c>
      <c r="W26" s="133">
        <f t="shared" si="25"/>
        <v>13.5</v>
      </c>
      <c r="X26" s="134">
        <f t="shared" si="25"/>
        <v>14.520833333333334</v>
      </c>
      <c r="Y26" s="126">
        <f t="shared" si="25"/>
        <v>21</v>
      </c>
      <c r="Z26" s="135">
        <f t="shared" si="24"/>
        <v>0.69146825396825395</v>
      </c>
      <c r="AA26" s="115"/>
      <c r="AB26" s="129">
        <f t="shared" si="14"/>
        <v>0.7142857142857143</v>
      </c>
      <c r="AC26" s="129">
        <f t="shared" si="15"/>
        <v>0.83333333333333337</v>
      </c>
      <c r="AD26" s="129">
        <f t="shared" si="16"/>
        <v>0.66666666666666663</v>
      </c>
      <c r="AE26" s="129">
        <f t="shared" si="17"/>
        <v>0.8571428571428571</v>
      </c>
      <c r="AF26" s="129">
        <f t="shared" si="18"/>
        <v>0.59523809523809523</v>
      </c>
      <c r="AG26" s="129">
        <f t="shared" si="19"/>
        <v>0.66666666666666663</v>
      </c>
      <c r="AH26" s="129">
        <f t="shared" si="20"/>
        <v>0.40476190476190477</v>
      </c>
      <c r="AI26" s="129">
        <f t="shared" si="21"/>
        <v>0.7857142857142857</v>
      </c>
      <c r="AJ26" s="129">
        <f t="shared" si="22"/>
        <v>0.6428571428571429</v>
      </c>
      <c r="AK26" s="129">
        <f t="shared" si="10"/>
        <v>0.68518518518518534</v>
      </c>
    </row>
    <row r="27" spans="2:37" ht="22.5" customHeight="1" x14ac:dyDescent="0.25">
      <c r="B27" s="99"/>
      <c r="C27" s="99"/>
      <c r="D27" s="99"/>
      <c r="E27" s="100"/>
      <c r="F27" s="99"/>
      <c r="G27" s="99"/>
      <c r="H27" s="99"/>
      <c r="I27" s="99"/>
      <c r="J27" s="99"/>
      <c r="K27" s="99"/>
      <c r="L27" s="99"/>
      <c r="M27" s="99"/>
      <c r="N27" s="99"/>
      <c r="O27" s="106"/>
      <c r="P27" s="106"/>
      <c r="Q27" s="106"/>
      <c r="R27" s="106"/>
      <c r="S27" s="106"/>
      <c r="T27" s="106"/>
      <c r="U27" s="106"/>
      <c r="V27" s="106"/>
      <c r="W27" s="106"/>
      <c r="X27" s="106"/>
      <c r="Y27" s="106"/>
      <c r="Z27" s="138"/>
      <c r="AA27" s="111"/>
      <c r="AB27" s="108"/>
      <c r="AC27" s="108"/>
      <c r="AD27" s="108"/>
      <c r="AE27" s="108"/>
      <c r="AF27" s="108"/>
      <c r="AG27" s="108"/>
      <c r="AH27" s="108"/>
      <c r="AI27" s="108"/>
      <c r="AJ27" s="108"/>
      <c r="AK27" s="139"/>
    </row>
    <row r="28" spans="2:37" ht="28.5" customHeight="1" x14ac:dyDescent="0.25">
      <c r="B28" s="171"/>
      <c r="C28" s="180" t="s">
        <v>261</v>
      </c>
      <c r="D28" s="5">
        <v>3.1</v>
      </c>
      <c r="E28" s="118" t="s">
        <v>657</v>
      </c>
      <c r="F28" s="130" t="s">
        <v>247</v>
      </c>
      <c r="G28" s="130" t="s">
        <v>250</v>
      </c>
      <c r="H28" s="118" t="s">
        <v>225</v>
      </c>
      <c r="I28" s="130" t="s">
        <v>247</v>
      </c>
      <c r="J28" s="130" t="s">
        <v>249</v>
      </c>
      <c r="K28" s="118" t="s">
        <v>248</v>
      </c>
      <c r="L28" s="130" t="s">
        <v>226</v>
      </c>
      <c r="M28" s="118" t="s">
        <v>248</v>
      </c>
      <c r="N28" s="118" t="s">
        <v>225</v>
      </c>
      <c r="O28" s="119">
        <v>0</v>
      </c>
      <c r="P28" s="140">
        <f>SUMIFS(Scorecards!$K$5:$K$517, Scorecards!$B$5:$B$517, "CIP", Scorecards!$F$5:$F$517, "3.1")</f>
        <v>1</v>
      </c>
      <c r="Q28" s="140">
        <f>SUMIFS(Scorecards!$K$5:$K$517, Scorecards!$B$5:$B$517, "CN", Scorecards!$F$5:$F$517, "3.1")</f>
        <v>1</v>
      </c>
      <c r="R28" s="119">
        <f>SUMIFS(Scorecards!$K$5:$K$517, Scorecards!$B$5:$B$517, "CNG", Scorecards!$F$5:$F$517, "3.1")</f>
        <v>0</v>
      </c>
      <c r="S28" s="119">
        <v>0</v>
      </c>
      <c r="T28" s="140">
        <f>SUMIFS(Scorecards!$K$5:$K$517, Scorecards!$B$5:$B$517, "CP", Scorecards!$F$5:$F$517, "3.1")</f>
        <v>1</v>
      </c>
      <c r="U28" s="141">
        <v>0.5</v>
      </c>
      <c r="V28" s="140">
        <f>SUMIFS(Scorecards!$K$5:$K$517, Scorecards!$B$5:$B$517, "SCS", Scorecards!$F$5:$F$517, "3.1")</f>
        <v>1</v>
      </c>
      <c r="W28" s="140">
        <f>SUMIFS(Scorecards!$K$5:$K$517, Scorecards!$B$5:$B$517, "SP", Scorecards!$F$5:$F$517, "3.1")</f>
        <v>1</v>
      </c>
      <c r="X28" s="131">
        <f t="shared" ref="X28:X34" si="26">AVERAGE(O28:W28)</f>
        <v>0.61111111111111116</v>
      </c>
      <c r="Y28" s="119">
        <v>1</v>
      </c>
      <c r="Z28" s="135">
        <f t="shared" ref="Z28:Z35" si="27">X28/Y28</f>
        <v>0.61111111111111116</v>
      </c>
      <c r="AA28" s="112"/>
      <c r="AB28" s="121">
        <f t="shared" ref="AB28:AJ35" si="28">O28/$Y28</f>
        <v>0</v>
      </c>
      <c r="AC28" s="113">
        <f t="shared" si="28"/>
        <v>1</v>
      </c>
      <c r="AD28" s="113">
        <f t="shared" si="28"/>
        <v>1</v>
      </c>
      <c r="AE28" s="121">
        <f t="shared" si="28"/>
        <v>0</v>
      </c>
      <c r="AF28" s="121">
        <f t="shared" si="28"/>
        <v>0</v>
      </c>
      <c r="AG28" s="113">
        <f t="shared" si="28"/>
        <v>1</v>
      </c>
      <c r="AH28" s="114">
        <f t="shared" si="28"/>
        <v>0.5</v>
      </c>
      <c r="AI28" s="113">
        <f t="shared" si="28"/>
        <v>1</v>
      </c>
      <c r="AJ28" s="113">
        <f t="shared" si="28"/>
        <v>1</v>
      </c>
      <c r="AK28" s="129">
        <f t="shared" si="10"/>
        <v>0.61111111111111116</v>
      </c>
    </row>
    <row r="29" spans="2:37" ht="28.5" customHeight="1" x14ac:dyDescent="0.25">
      <c r="B29" s="172"/>
      <c r="C29" s="180"/>
      <c r="D29" s="5">
        <v>3.2</v>
      </c>
      <c r="E29" s="118" t="s">
        <v>658</v>
      </c>
      <c r="F29" s="130" t="s">
        <v>225</v>
      </c>
      <c r="G29" s="130" t="s">
        <v>226</v>
      </c>
      <c r="H29" s="118" t="s">
        <v>226</v>
      </c>
      <c r="I29" s="130" t="s">
        <v>226</v>
      </c>
      <c r="J29" s="130" t="s">
        <v>225</v>
      </c>
      <c r="K29" s="118" t="s">
        <v>226</v>
      </c>
      <c r="L29" s="118" t="s">
        <v>226</v>
      </c>
      <c r="M29" s="118" t="s">
        <v>226</v>
      </c>
      <c r="N29" s="118" t="s">
        <v>226</v>
      </c>
      <c r="O29" s="140">
        <v>3</v>
      </c>
      <c r="P29" s="119">
        <f>SUMIFS(Scorecards!$K$5:$K$517, Scorecards!$B$5:$B$517, "CIP", Scorecards!$F$5:$F$517, "3.2")</f>
        <v>0</v>
      </c>
      <c r="Q29" s="143">
        <f>SUMIFS(Scorecards!$K$5:$K$517, Scorecards!$B$5:$B$517, "CN", Scorecards!$F$5:$F$517, "3.2")</f>
        <v>1.5</v>
      </c>
      <c r="R29" s="141">
        <f>SUMIFS(Scorecards!$K$5:$K$517, Scorecards!$B$5:$B$517, "CNG", Scorecards!$F$5:$F$517, "3.2")</f>
        <v>1</v>
      </c>
      <c r="S29" s="140">
        <v>3</v>
      </c>
      <c r="T29" s="119">
        <f>SUMIFS(Scorecards!$K$5:$K$517, Scorecards!$B$5:$B$517, "CP", Scorecards!$F$5:$F$517, "3.2")</f>
        <v>0</v>
      </c>
      <c r="U29" s="119">
        <v>0</v>
      </c>
      <c r="V29" s="141">
        <f>SUMIFS(Scorecards!$K$5:$K$517, Scorecards!$B$5:$B$517, "SCS", Scorecards!$F$5:$F$517, "3.2")</f>
        <v>1</v>
      </c>
      <c r="W29" s="119">
        <f>SUMIFS(Scorecards!$K$5:$K$517, Scorecards!$B$5:$B$517, "SP", Scorecards!$F$5:$F$517, "3.2")</f>
        <v>0</v>
      </c>
      <c r="X29" s="131">
        <f t="shared" si="26"/>
        <v>1.0555555555555556</v>
      </c>
      <c r="Y29" s="119">
        <v>3</v>
      </c>
      <c r="Z29" s="135">
        <f t="shared" si="27"/>
        <v>0.35185185185185186</v>
      </c>
      <c r="AA29" s="112"/>
      <c r="AB29" s="113">
        <f t="shared" si="28"/>
        <v>1</v>
      </c>
      <c r="AC29" s="121">
        <f t="shared" si="28"/>
        <v>0</v>
      </c>
      <c r="AD29" s="114">
        <f t="shared" si="28"/>
        <v>0.5</v>
      </c>
      <c r="AE29" s="114">
        <f t="shared" si="28"/>
        <v>0.33333333333333331</v>
      </c>
      <c r="AF29" s="113">
        <f t="shared" si="28"/>
        <v>1</v>
      </c>
      <c r="AG29" s="121">
        <f t="shared" si="28"/>
        <v>0</v>
      </c>
      <c r="AH29" s="121">
        <f t="shared" si="28"/>
        <v>0</v>
      </c>
      <c r="AI29" s="114">
        <f t="shared" si="28"/>
        <v>0.33333333333333331</v>
      </c>
      <c r="AJ29" s="121">
        <f t="shared" si="28"/>
        <v>0</v>
      </c>
      <c r="AK29" s="129">
        <f t="shared" si="10"/>
        <v>0.35185185185185186</v>
      </c>
    </row>
    <row r="30" spans="2:37" ht="28.5" customHeight="1" x14ac:dyDescent="0.25">
      <c r="B30" s="172"/>
      <c r="C30" s="180"/>
      <c r="D30" s="5">
        <v>3.3</v>
      </c>
      <c r="E30" s="118" t="s">
        <v>659</v>
      </c>
      <c r="F30" s="130" t="s">
        <v>225</v>
      </c>
      <c r="G30" s="130" t="s">
        <v>225</v>
      </c>
      <c r="H30" s="118" t="s">
        <v>225</v>
      </c>
      <c r="I30" s="118" t="s">
        <v>225</v>
      </c>
      <c r="J30" s="130" t="s">
        <v>251</v>
      </c>
      <c r="K30" s="118" t="s">
        <v>225</v>
      </c>
      <c r="L30" s="118" t="s">
        <v>225</v>
      </c>
      <c r="M30" s="118" t="s">
        <v>225</v>
      </c>
      <c r="N30" s="118" t="s">
        <v>225</v>
      </c>
      <c r="O30" s="140">
        <v>1</v>
      </c>
      <c r="P30" s="140">
        <f>SUMIFS(Scorecards!$K$5:$K$517, Scorecards!$B$5:$B$517, "CIP", Scorecards!$F$5:$F$517, "3.3")</f>
        <v>1</v>
      </c>
      <c r="Q30" s="140">
        <f>SUMIFS(Scorecards!$K$5:$K$517, Scorecards!$B$5:$B$517, "CN", Scorecards!$F$5:$F$517, "3.3")</f>
        <v>1</v>
      </c>
      <c r="R30" s="140">
        <f>SUMIFS(Scorecards!$K$5:$K$517, Scorecards!$B$5:$B$517, "CNG", Scorecards!$F$5:$F$517, "3.3")</f>
        <v>1</v>
      </c>
      <c r="S30" s="119">
        <v>0</v>
      </c>
      <c r="T30" s="140">
        <f>SUMIFS(Scorecards!$K$5:$K$517, Scorecards!$B$5:$B$517, "CP", Scorecards!$F$5:$F$517, "3.3")</f>
        <v>1</v>
      </c>
      <c r="U30" s="119">
        <v>0</v>
      </c>
      <c r="V30" s="140">
        <f>SUMIFS(Scorecards!$K$5:$K$517, Scorecards!$B$5:$B$517, "SCS", Scorecards!$F$5:$F$517, "3.3")</f>
        <v>1</v>
      </c>
      <c r="W30" s="140">
        <f>SUMIFS(Scorecards!$K$5:$K$517, Scorecards!$B$5:$B$517, "SP", Scorecards!$F$5:$F$517, "3.3")</f>
        <v>1</v>
      </c>
      <c r="X30" s="131">
        <f t="shared" si="26"/>
        <v>0.77777777777777779</v>
      </c>
      <c r="Y30" s="119">
        <v>1</v>
      </c>
      <c r="Z30" s="135">
        <f t="shared" si="27"/>
        <v>0.77777777777777779</v>
      </c>
      <c r="AA30" s="112"/>
      <c r="AB30" s="113">
        <f t="shared" si="28"/>
        <v>1</v>
      </c>
      <c r="AC30" s="113">
        <f t="shared" si="28"/>
        <v>1</v>
      </c>
      <c r="AD30" s="113">
        <f t="shared" si="28"/>
        <v>1</v>
      </c>
      <c r="AE30" s="113">
        <f t="shared" si="28"/>
        <v>1</v>
      </c>
      <c r="AF30" s="121">
        <f t="shared" si="28"/>
        <v>0</v>
      </c>
      <c r="AG30" s="113">
        <f t="shared" si="28"/>
        <v>1</v>
      </c>
      <c r="AH30" s="121">
        <f t="shared" si="28"/>
        <v>0</v>
      </c>
      <c r="AI30" s="113">
        <f t="shared" si="28"/>
        <v>1</v>
      </c>
      <c r="AJ30" s="113">
        <f t="shared" si="28"/>
        <v>1</v>
      </c>
      <c r="AK30" s="129">
        <f t="shared" si="10"/>
        <v>0.77777777777777779</v>
      </c>
    </row>
    <row r="31" spans="2:37" ht="28.5" customHeight="1" x14ac:dyDescent="0.25">
      <c r="B31" s="172"/>
      <c r="C31" s="180"/>
      <c r="D31" s="5">
        <v>3.4</v>
      </c>
      <c r="E31" s="118" t="s">
        <v>628</v>
      </c>
      <c r="F31" s="130" t="s">
        <v>226</v>
      </c>
      <c r="G31" s="130" t="s">
        <v>226</v>
      </c>
      <c r="H31" s="118" t="s">
        <v>226</v>
      </c>
      <c r="I31" s="118" t="s">
        <v>226</v>
      </c>
      <c r="J31" s="130" t="s">
        <v>226</v>
      </c>
      <c r="K31" s="118" t="s">
        <v>226</v>
      </c>
      <c r="L31" s="118" t="s">
        <v>226</v>
      </c>
      <c r="M31" s="118" t="s">
        <v>226</v>
      </c>
      <c r="N31" s="118" t="s">
        <v>226</v>
      </c>
      <c r="O31" s="140">
        <v>1</v>
      </c>
      <c r="P31" s="119">
        <f>SUMIFS(Scorecards!$K$5:$K$517, Scorecards!$B$5:$B$517, "CIP", Scorecards!$F$5:$F$517, "3.4")</f>
        <v>0</v>
      </c>
      <c r="Q31" s="119">
        <f>SUMIFS(Scorecards!$K$5:$K$517, Scorecards!$B$5:$B$517, "CN", Scorecards!$F$5:$F$517, "3.4")</f>
        <v>0</v>
      </c>
      <c r="R31" s="119">
        <f>SUMIFS(Scorecards!$K$5:$K$517, Scorecards!$B$5:$B$517, "CNG", Scorecards!$F$5:$F$517, "3.4")</f>
        <v>0</v>
      </c>
      <c r="S31" s="119">
        <v>0</v>
      </c>
      <c r="T31" s="119">
        <f>SUMIFS(Scorecards!$K$5:$K$517, Scorecards!$B$5:$B$517, "CP", Scorecards!$F$5:$F$517, "3.4")</f>
        <v>0</v>
      </c>
      <c r="U31" s="119">
        <v>0</v>
      </c>
      <c r="V31" s="119">
        <f>SUMIFS(Scorecards!$K$5:$K$517, Scorecards!$B$5:$B$517, "SCS", Scorecards!$F$5:$F$517, "3.4")</f>
        <v>0</v>
      </c>
      <c r="W31" s="119">
        <f>SUMIFS(Scorecards!$K$5:$K$517, Scorecards!$B$5:$B$517, "SP", Scorecards!$F$5:$F$517, "3.4")</f>
        <v>0</v>
      </c>
      <c r="X31" s="131">
        <f t="shared" si="26"/>
        <v>0.1111111111111111</v>
      </c>
      <c r="Y31" s="119">
        <v>1</v>
      </c>
      <c r="Z31" s="135">
        <f t="shared" si="27"/>
        <v>0.1111111111111111</v>
      </c>
      <c r="AA31" s="112"/>
      <c r="AB31" s="113">
        <f t="shared" si="28"/>
        <v>1</v>
      </c>
      <c r="AC31" s="121">
        <f t="shared" si="28"/>
        <v>0</v>
      </c>
      <c r="AD31" s="121">
        <f t="shared" si="28"/>
        <v>0</v>
      </c>
      <c r="AE31" s="121">
        <f t="shared" si="28"/>
        <v>0</v>
      </c>
      <c r="AF31" s="121">
        <f t="shared" si="28"/>
        <v>0</v>
      </c>
      <c r="AG31" s="121">
        <f t="shared" si="28"/>
        <v>0</v>
      </c>
      <c r="AH31" s="121">
        <f t="shared" si="28"/>
        <v>0</v>
      </c>
      <c r="AI31" s="121">
        <f t="shared" si="28"/>
        <v>0</v>
      </c>
      <c r="AJ31" s="121">
        <f t="shared" si="28"/>
        <v>0</v>
      </c>
      <c r="AK31" s="129">
        <f t="shared" si="10"/>
        <v>0.1111111111111111</v>
      </c>
    </row>
    <row r="32" spans="2:37" ht="28.5" customHeight="1" x14ac:dyDescent="0.25">
      <c r="B32" s="172"/>
      <c r="C32" s="180"/>
      <c r="D32" s="5">
        <v>3.5</v>
      </c>
      <c r="E32" s="118" t="s">
        <v>127</v>
      </c>
      <c r="F32" s="130" t="s">
        <v>225</v>
      </c>
      <c r="G32" s="130" t="s">
        <v>225</v>
      </c>
      <c r="H32" s="118" t="s">
        <v>225</v>
      </c>
      <c r="I32" s="118" t="s">
        <v>252</v>
      </c>
      <c r="J32" s="130" t="s">
        <v>254</v>
      </c>
      <c r="K32" s="130" t="s">
        <v>253</v>
      </c>
      <c r="L32" s="118" t="s">
        <v>225</v>
      </c>
      <c r="M32" s="118" t="s">
        <v>225</v>
      </c>
      <c r="N32" s="118" t="s">
        <v>225</v>
      </c>
      <c r="O32" s="140">
        <v>1</v>
      </c>
      <c r="P32" s="140">
        <f>SUMIFS(Scorecards!$K$5:$K$517, Scorecards!$B$5:$B$517, "CIP", Scorecards!$F$5:$F$517, "3.5")</f>
        <v>1</v>
      </c>
      <c r="Q32" s="140">
        <f>SUMIFS(Scorecards!$K$5:$K$517, Scorecards!$B$5:$B$517, "CN", Scorecards!$F$5:$F$517, "3.5")</f>
        <v>1</v>
      </c>
      <c r="R32" s="140">
        <f>SUMIFS(Scorecards!$K$5:$K$517, Scorecards!$B$5:$B$517, "CNG", Scorecards!$F$5:$F$517, "3.5")</f>
        <v>1</v>
      </c>
      <c r="S32" s="119">
        <v>0</v>
      </c>
      <c r="T32" s="140">
        <f>SUMIFS(Scorecards!$K$5:$K$517, Scorecards!$B$5:$B$517, "CP", Scorecards!$F$5:$F$517, "3.5")</f>
        <v>1</v>
      </c>
      <c r="U32" s="140">
        <v>1</v>
      </c>
      <c r="V32" s="140">
        <f>SUMIFS(Scorecards!$K$5:$K$517, Scorecards!$B$5:$B$517, "SCS", Scorecards!$F$5:$F$517, "3.5")</f>
        <v>1</v>
      </c>
      <c r="W32" s="140">
        <f>SUMIFS(Scorecards!$K$5:$K$517, Scorecards!$B$5:$B$517, "SP", Scorecards!$F$5:$F$517, "3.5")</f>
        <v>1</v>
      </c>
      <c r="X32" s="131">
        <f t="shared" si="26"/>
        <v>0.88888888888888884</v>
      </c>
      <c r="Y32" s="119">
        <v>1</v>
      </c>
      <c r="Z32" s="135">
        <f t="shared" si="27"/>
        <v>0.88888888888888884</v>
      </c>
      <c r="AA32" s="112"/>
      <c r="AB32" s="113">
        <f t="shared" si="28"/>
        <v>1</v>
      </c>
      <c r="AC32" s="113">
        <f t="shared" si="28"/>
        <v>1</v>
      </c>
      <c r="AD32" s="113">
        <f t="shared" si="28"/>
        <v>1</v>
      </c>
      <c r="AE32" s="113">
        <f t="shared" si="28"/>
        <v>1</v>
      </c>
      <c r="AF32" s="121">
        <f t="shared" si="28"/>
        <v>0</v>
      </c>
      <c r="AG32" s="113">
        <f t="shared" si="28"/>
        <v>1</v>
      </c>
      <c r="AH32" s="113">
        <f t="shared" si="28"/>
        <v>1</v>
      </c>
      <c r="AI32" s="113">
        <f t="shared" si="28"/>
        <v>1</v>
      </c>
      <c r="AJ32" s="113">
        <f t="shared" si="28"/>
        <v>1</v>
      </c>
      <c r="AK32" s="129">
        <f t="shared" si="10"/>
        <v>0.88888888888888884</v>
      </c>
    </row>
    <row r="33" spans="2:38" ht="28.5" customHeight="1" x14ac:dyDescent="0.25">
      <c r="B33" s="172"/>
      <c r="C33" s="180"/>
      <c r="D33" s="5">
        <v>3.6</v>
      </c>
      <c r="E33" s="118" t="s">
        <v>675</v>
      </c>
      <c r="F33" s="130" t="s">
        <v>225</v>
      </c>
      <c r="G33" s="130" t="s">
        <v>259</v>
      </c>
      <c r="H33" s="118" t="s">
        <v>225</v>
      </c>
      <c r="I33" s="130" t="s">
        <v>226</v>
      </c>
      <c r="J33" s="130" t="s">
        <v>258</v>
      </c>
      <c r="K33" s="130" t="s">
        <v>257</v>
      </c>
      <c r="L33" s="130" t="s">
        <v>226</v>
      </c>
      <c r="M33" s="130" t="s">
        <v>226</v>
      </c>
      <c r="N33" s="118" t="s">
        <v>256</v>
      </c>
      <c r="O33" s="140">
        <v>1</v>
      </c>
      <c r="P33" s="141">
        <f>SUMIFS(Scorecards!$K$5:$K$517, Scorecards!$B$5:$B$517, "CIP", Scorecards!$F$5:$F$517, "3.6")</f>
        <v>0.5</v>
      </c>
      <c r="Q33" s="140">
        <f>SUMIFS(Scorecards!$K$5:$K$517, Scorecards!$B$5:$B$517, "CN", Scorecards!$F$5:$F$517, "3.6")</f>
        <v>1</v>
      </c>
      <c r="R33" s="141">
        <f>SUMIFS(Scorecards!$K$5:$K$517, Scorecards!$B$5:$B$517, "CNG", Scorecards!$F$5:$F$517, "3.6")</f>
        <v>0.5</v>
      </c>
      <c r="S33" s="119">
        <v>0</v>
      </c>
      <c r="T33" s="140">
        <f>SUMIFS(Scorecards!$K$5:$K$517, Scorecards!$B$5:$B$517, "CP", Scorecards!$F$5:$F$517, "3.6")</f>
        <v>1</v>
      </c>
      <c r="U33" s="119">
        <v>0</v>
      </c>
      <c r="V33" s="119">
        <f>SUMIFS(Scorecards!$K$5:$K$517, Scorecards!$B$5:$B$517, "SCS", Scorecards!$F$5:$F$517, "3.6")</f>
        <v>0</v>
      </c>
      <c r="W33" s="119">
        <f>SUMIFS(Scorecards!$K$5:$K$517, Scorecards!$B$5:$B$517, "SP", Scorecards!$F$5:$F$517, "3.6")</f>
        <v>0</v>
      </c>
      <c r="X33" s="131">
        <f t="shared" si="26"/>
        <v>0.44444444444444442</v>
      </c>
      <c r="Y33" s="119">
        <v>1</v>
      </c>
      <c r="Z33" s="135">
        <f t="shared" si="27"/>
        <v>0.44444444444444442</v>
      </c>
      <c r="AA33" s="112"/>
      <c r="AB33" s="113">
        <f t="shared" si="28"/>
        <v>1</v>
      </c>
      <c r="AC33" s="114">
        <f t="shared" si="28"/>
        <v>0.5</v>
      </c>
      <c r="AD33" s="113">
        <f t="shared" si="28"/>
        <v>1</v>
      </c>
      <c r="AE33" s="114">
        <f t="shared" si="28"/>
        <v>0.5</v>
      </c>
      <c r="AF33" s="121">
        <f t="shared" si="28"/>
        <v>0</v>
      </c>
      <c r="AG33" s="113">
        <f t="shared" si="28"/>
        <v>1</v>
      </c>
      <c r="AH33" s="121">
        <f t="shared" si="28"/>
        <v>0</v>
      </c>
      <c r="AI33" s="121">
        <f t="shared" si="28"/>
        <v>0</v>
      </c>
      <c r="AJ33" s="121">
        <f t="shared" si="28"/>
        <v>0</v>
      </c>
      <c r="AK33" s="129">
        <f t="shared" si="10"/>
        <v>0.44444444444444442</v>
      </c>
    </row>
    <row r="34" spans="2:38" ht="28.5" customHeight="1" x14ac:dyDescent="0.25">
      <c r="B34" s="172"/>
      <c r="C34" s="180"/>
      <c r="D34" s="5">
        <v>3.7</v>
      </c>
      <c r="E34" s="118" t="s">
        <v>260</v>
      </c>
      <c r="F34" s="130" t="s">
        <v>225</v>
      </c>
      <c r="G34" s="130" t="s">
        <v>225</v>
      </c>
      <c r="H34" s="118" t="s">
        <v>225</v>
      </c>
      <c r="I34" s="130" t="s">
        <v>225</v>
      </c>
      <c r="J34" s="118" t="s">
        <v>225</v>
      </c>
      <c r="K34" s="118" t="s">
        <v>225</v>
      </c>
      <c r="L34" s="118" t="s">
        <v>225</v>
      </c>
      <c r="M34" s="130" t="s">
        <v>225</v>
      </c>
      <c r="N34" s="118" t="s">
        <v>225</v>
      </c>
      <c r="O34" s="140">
        <v>1</v>
      </c>
      <c r="P34" s="140">
        <f>SUMIFS(Scorecards!$K$5:$K$517, Scorecards!$B$5:$B$517, "CIP", Scorecards!$F$5:$F$517, "3.7")</f>
        <v>1</v>
      </c>
      <c r="Q34" s="140">
        <f>SUMIFS(Scorecards!$K$5:$K$517, Scorecards!$B$5:$B$517, "CN", Scorecards!$F$5:$F$517, "3.7")</f>
        <v>1</v>
      </c>
      <c r="R34" s="140">
        <f>SUMIFS(Scorecards!$K$5:$K$517, Scorecards!$B$5:$B$517, "CNG", Scorecards!$F$5:$F$517, "3.7")</f>
        <v>1</v>
      </c>
      <c r="S34" s="119">
        <v>0</v>
      </c>
      <c r="T34" s="140">
        <f>SUMIFS(Scorecards!$K$5:$K$517, Scorecards!$B$5:$B$517, "CP", Scorecards!$F$5:$F$517, "3.7")</f>
        <v>1</v>
      </c>
      <c r="U34" s="140">
        <v>1</v>
      </c>
      <c r="V34" s="140">
        <f>SUMIFS(Scorecards!$K$5:$K$517, Scorecards!$B$5:$B$517, "SCS", Scorecards!$F$5:$F$517, "3.7")</f>
        <v>1</v>
      </c>
      <c r="W34" s="140">
        <f>SUMIFS(Scorecards!$K$5:$K$517, Scorecards!$B$5:$B$517, "SP", Scorecards!$F$5:$F$517, "3.7")</f>
        <v>1</v>
      </c>
      <c r="X34" s="131">
        <f t="shared" si="26"/>
        <v>0.88888888888888884</v>
      </c>
      <c r="Y34" s="119">
        <v>1</v>
      </c>
      <c r="Z34" s="135">
        <f t="shared" si="27"/>
        <v>0.88888888888888884</v>
      </c>
      <c r="AA34" s="112"/>
      <c r="AB34" s="113">
        <f t="shared" si="28"/>
        <v>1</v>
      </c>
      <c r="AC34" s="113">
        <f t="shared" si="28"/>
        <v>1</v>
      </c>
      <c r="AD34" s="113">
        <f t="shared" si="28"/>
        <v>1</v>
      </c>
      <c r="AE34" s="113">
        <f t="shared" si="28"/>
        <v>1</v>
      </c>
      <c r="AF34" s="121">
        <f t="shared" si="28"/>
        <v>0</v>
      </c>
      <c r="AG34" s="113">
        <f t="shared" si="28"/>
        <v>1</v>
      </c>
      <c r="AH34" s="113">
        <f t="shared" si="28"/>
        <v>1</v>
      </c>
      <c r="AI34" s="113">
        <f t="shared" si="28"/>
        <v>1</v>
      </c>
      <c r="AJ34" s="113">
        <f t="shared" si="28"/>
        <v>1</v>
      </c>
      <c r="AK34" s="129">
        <f t="shared" si="10"/>
        <v>0.88888888888888884</v>
      </c>
    </row>
    <row r="35" spans="2:38" ht="28.5" customHeight="1" x14ac:dyDescent="0.25">
      <c r="B35" s="173"/>
      <c r="C35" s="180"/>
      <c r="D35" s="101"/>
      <c r="E35" s="132" t="s">
        <v>689</v>
      </c>
      <c r="F35" s="124"/>
      <c r="G35" s="124"/>
      <c r="H35" s="124"/>
      <c r="I35" s="124"/>
      <c r="J35" s="124"/>
      <c r="K35" s="124"/>
      <c r="L35" s="124"/>
      <c r="M35" s="124"/>
      <c r="N35" s="124"/>
      <c r="O35" s="137">
        <f t="shared" ref="O35:X35" si="29">SUM(O28:O34)</f>
        <v>8</v>
      </c>
      <c r="P35" s="137">
        <f t="shared" si="29"/>
        <v>4.5</v>
      </c>
      <c r="Q35" s="137">
        <f t="shared" si="29"/>
        <v>6.5</v>
      </c>
      <c r="R35" s="137">
        <f t="shared" si="29"/>
        <v>4.5</v>
      </c>
      <c r="S35" s="137">
        <f t="shared" si="29"/>
        <v>3</v>
      </c>
      <c r="T35" s="137">
        <f t="shared" si="29"/>
        <v>5</v>
      </c>
      <c r="U35" s="137">
        <f t="shared" si="29"/>
        <v>2.5</v>
      </c>
      <c r="V35" s="137">
        <f t="shared" si="29"/>
        <v>5</v>
      </c>
      <c r="W35" s="137">
        <f t="shared" si="29"/>
        <v>4</v>
      </c>
      <c r="X35" s="134">
        <f t="shared" si="29"/>
        <v>4.7777777777777786</v>
      </c>
      <c r="Y35" s="127">
        <f t="shared" ref="Y35" si="30">SUM(Y28:Y34)</f>
        <v>9</v>
      </c>
      <c r="Z35" s="135">
        <f t="shared" si="27"/>
        <v>0.53086419753086433</v>
      </c>
      <c r="AA35" s="115"/>
      <c r="AB35" s="129">
        <f t="shared" si="28"/>
        <v>0.88888888888888884</v>
      </c>
      <c r="AC35" s="129">
        <f t="shared" si="28"/>
        <v>0.5</v>
      </c>
      <c r="AD35" s="129">
        <f t="shared" si="28"/>
        <v>0.72222222222222221</v>
      </c>
      <c r="AE35" s="129">
        <f t="shared" si="28"/>
        <v>0.5</v>
      </c>
      <c r="AF35" s="129">
        <f t="shared" si="28"/>
        <v>0.33333333333333331</v>
      </c>
      <c r="AG35" s="129">
        <f t="shared" si="28"/>
        <v>0.55555555555555558</v>
      </c>
      <c r="AH35" s="129">
        <f t="shared" si="28"/>
        <v>0.27777777777777779</v>
      </c>
      <c r="AI35" s="129">
        <f t="shared" si="28"/>
        <v>0.55555555555555558</v>
      </c>
      <c r="AJ35" s="129">
        <f t="shared" si="28"/>
        <v>0.44444444444444442</v>
      </c>
      <c r="AK35" s="129">
        <f t="shared" si="10"/>
        <v>0.53086419753086422</v>
      </c>
    </row>
    <row r="36" spans="2:38" ht="22.5" customHeight="1" x14ac:dyDescent="0.25">
      <c r="B36" s="99"/>
      <c r="C36" s="99"/>
      <c r="D36" s="99"/>
      <c r="E36" s="100"/>
      <c r="F36" s="99"/>
      <c r="G36" s="99"/>
      <c r="H36" s="99"/>
      <c r="I36" s="99"/>
      <c r="J36" s="99"/>
      <c r="K36" s="99"/>
      <c r="L36" s="99"/>
      <c r="M36" s="99"/>
      <c r="N36" s="99"/>
      <c r="O36" s="106"/>
      <c r="P36" s="106"/>
      <c r="Q36" s="106"/>
      <c r="R36" s="106"/>
      <c r="S36" s="106"/>
      <c r="T36" s="106"/>
      <c r="U36" s="106"/>
      <c r="V36" s="106"/>
      <c r="W36" s="106"/>
      <c r="X36" s="106"/>
      <c r="Y36" s="106"/>
      <c r="Z36" s="138"/>
      <c r="AA36" s="111"/>
      <c r="AB36" s="108"/>
      <c r="AC36" s="108"/>
      <c r="AD36" s="108"/>
      <c r="AE36" s="108"/>
      <c r="AF36" s="108"/>
      <c r="AG36" s="108"/>
      <c r="AH36" s="108"/>
      <c r="AI36" s="108"/>
      <c r="AJ36" s="108"/>
      <c r="AK36" s="139"/>
    </row>
    <row r="37" spans="2:38" ht="28.5" customHeight="1" x14ac:dyDescent="0.25">
      <c r="B37" s="174"/>
      <c r="C37" s="180" t="s">
        <v>282</v>
      </c>
      <c r="D37" s="5">
        <v>4.0999999999999996</v>
      </c>
      <c r="E37" s="118" t="s">
        <v>629</v>
      </c>
      <c r="F37" s="130" t="s">
        <v>225</v>
      </c>
      <c r="G37" s="130" t="s">
        <v>226</v>
      </c>
      <c r="H37" s="130" t="s">
        <v>226</v>
      </c>
      <c r="I37" s="130" t="s">
        <v>225</v>
      </c>
      <c r="J37" s="130" t="s">
        <v>226</v>
      </c>
      <c r="K37" s="118" t="s">
        <v>226</v>
      </c>
      <c r="L37" s="130" t="s">
        <v>226</v>
      </c>
      <c r="M37" s="130" t="s">
        <v>226</v>
      </c>
      <c r="N37" s="118" t="s">
        <v>226</v>
      </c>
      <c r="O37" s="141">
        <v>0.5</v>
      </c>
      <c r="P37" s="119">
        <f>SUMIFS(Scorecards!$K$5:$K$517, Scorecards!$B$5:$B$517, "CIP", Scorecards!$E$5:$E$517, "45")</f>
        <v>0</v>
      </c>
      <c r="Q37" s="119">
        <f>SUMIFS(Scorecards!$K$5:$K$517, Scorecards!$B$5:$B$517, "CN", Scorecards!$E$5:$E$517, "45")</f>
        <v>0</v>
      </c>
      <c r="R37" s="140">
        <f>SUMIFS(Scorecards!$K$5:$K$517, Scorecards!$B$5:$B$517, "CNG", Scorecards!$E$5:$E$517, "45")</f>
        <v>1</v>
      </c>
      <c r="S37" s="119">
        <v>0</v>
      </c>
      <c r="T37" s="140">
        <f>SUMIFS(Scorecards!$K$5:$K$517, Scorecards!$B$5:$B$517, "CP", Scorecards!$E$5:$E$517, "45")</f>
        <v>1</v>
      </c>
      <c r="U37" s="142">
        <v>1</v>
      </c>
      <c r="V37" s="119">
        <f>SUMIFS(Scorecards!$K$5:$K$517, Scorecards!$B$5:$B$517, "SCS", Scorecards!$E$5:$E$517, "45")</f>
        <v>0</v>
      </c>
      <c r="W37" s="119">
        <f>SUMIFS(Scorecards!$K$5:$K$517, Scorecards!$B$5:$B$517, "SP", Scorecards!$E$5:$E$517, "45")</f>
        <v>0</v>
      </c>
      <c r="X37" s="131">
        <f t="shared" ref="X37:X49" si="31">AVERAGE(O37:W37)</f>
        <v>0.3888888888888889</v>
      </c>
      <c r="Y37" s="119">
        <v>1</v>
      </c>
      <c r="Z37" s="135">
        <f t="shared" ref="Z37:Z49" si="32">X37/Y37</f>
        <v>0.3888888888888889</v>
      </c>
      <c r="AA37" s="112"/>
      <c r="AB37" s="114">
        <f t="shared" ref="AB37:AB50" si="33">O37/$Y37</f>
        <v>0.5</v>
      </c>
      <c r="AC37" s="121">
        <f t="shared" ref="AC37:AC50" si="34">P37/$Y37</f>
        <v>0</v>
      </c>
      <c r="AD37" s="121">
        <f t="shared" ref="AD37:AD50" si="35">Q37/$Y37</f>
        <v>0</v>
      </c>
      <c r="AE37" s="113">
        <f t="shared" ref="AE37:AE50" si="36">R37/$Y37</f>
        <v>1</v>
      </c>
      <c r="AF37" s="121">
        <f t="shared" ref="AF37:AF50" si="37">S37/$Y37</f>
        <v>0</v>
      </c>
      <c r="AG37" s="113">
        <f t="shared" ref="AG37:AG50" si="38">T37/$Y37</f>
        <v>1</v>
      </c>
      <c r="AH37" s="113">
        <f t="shared" ref="AH37:AH50" si="39">U37/$Y37</f>
        <v>1</v>
      </c>
      <c r="AI37" s="121">
        <f t="shared" ref="AI37:AI50" si="40">V37/$Y37</f>
        <v>0</v>
      </c>
      <c r="AJ37" s="121">
        <f t="shared" ref="AJ37:AJ50" si="41">W37/$Y37</f>
        <v>0</v>
      </c>
      <c r="AK37" s="129">
        <f t="shared" si="10"/>
        <v>0.3888888888888889</v>
      </c>
      <c r="AL37" s="149"/>
    </row>
    <row r="38" spans="2:38" ht="36" customHeight="1" x14ac:dyDescent="0.25">
      <c r="B38" s="175"/>
      <c r="C38" s="180"/>
      <c r="D38" s="5">
        <v>4.2</v>
      </c>
      <c r="E38" s="118" t="s">
        <v>630</v>
      </c>
      <c r="F38" s="130" t="s">
        <v>226</v>
      </c>
      <c r="G38" s="130" t="s">
        <v>226</v>
      </c>
      <c r="H38" s="130" t="s">
        <v>226</v>
      </c>
      <c r="I38" s="130" t="s">
        <v>263</v>
      </c>
      <c r="J38" s="130" t="s">
        <v>265</v>
      </c>
      <c r="K38" s="130" t="s">
        <v>264</v>
      </c>
      <c r="L38" s="130" t="s">
        <v>226</v>
      </c>
      <c r="M38" s="130" t="s">
        <v>226</v>
      </c>
      <c r="N38" s="118" t="s">
        <v>262</v>
      </c>
      <c r="O38" s="119">
        <v>0</v>
      </c>
      <c r="P38" s="119">
        <f>SUMIFS(Scorecards!$K$5:$K$517, Scorecards!$B$5:$B$517, "CIP", Scorecards!$F$5:$F$517, "4.2")</f>
        <v>0</v>
      </c>
      <c r="Q38" s="119">
        <f>SUMIFS(Scorecards!$K$5:$K$517, Scorecards!$B$5:$B$517, "CN", Scorecards!$F$5:$F$517, "4.2")</f>
        <v>0</v>
      </c>
      <c r="R38" s="119">
        <f>SUMIFS(Scorecards!$K$5:$K$517, Scorecards!$B$5:$B$517, "CNG", Scorecards!$F$5:$F$517, "4.2")</f>
        <v>0</v>
      </c>
      <c r="S38" s="141">
        <v>0.5</v>
      </c>
      <c r="T38" s="119">
        <f>SUMIFS(Scorecards!$K$5:$K$517, Scorecards!$B$5:$B$517, "CP", Scorecards!$F$5:$F$517, "4.2")</f>
        <v>0</v>
      </c>
      <c r="U38" s="119">
        <v>0</v>
      </c>
      <c r="V38" s="119">
        <f>SUMIFS(Scorecards!$K$5:$K$517, Scorecards!$B$5:$B$517, "SCS", Scorecards!$F$5:$F$517, "4.2")</f>
        <v>0</v>
      </c>
      <c r="W38" s="119">
        <f>SUMIFS(Scorecards!$K$5:$K$517, Scorecards!$B$5:$B$517, "SP", Scorecards!$F$5:$F$517, "4.2")</f>
        <v>0</v>
      </c>
      <c r="X38" s="131">
        <f t="shared" si="31"/>
        <v>5.5555555555555552E-2</v>
      </c>
      <c r="Y38" s="119">
        <v>1</v>
      </c>
      <c r="Z38" s="135">
        <f t="shared" si="32"/>
        <v>5.5555555555555552E-2</v>
      </c>
      <c r="AA38" s="112"/>
      <c r="AB38" s="121">
        <f t="shared" si="33"/>
        <v>0</v>
      </c>
      <c r="AC38" s="121">
        <f t="shared" si="34"/>
        <v>0</v>
      </c>
      <c r="AD38" s="121">
        <f t="shared" si="35"/>
        <v>0</v>
      </c>
      <c r="AE38" s="121">
        <f t="shared" si="36"/>
        <v>0</v>
      </c>
      <c r="AF38" s="114">
        <f t="shared" si="37"/>
        <v>0.5</v>
      </c>
      <c r="AG38" s="121">
        <f t="shared" si="38"/>
        <v>0</v>
      </c>
      <c r="AH38" s="121">
        <f t="shared" si="39"/>
        <v>0</v>
      </c>
      <c r="AI38" s="121">
        <f t="shared" si="40"/>
        <v>0</v>
      </c>
      <c r="AJ38" s="121">
        <f t="shared" si="41"/>
        <v>0</v>
      </c>
      <c r="AK38" s="129">
        <f t="shared" si="10"/>
        <v>5.5555555555555552E-2</v>
      </c>
      <c r="AL38" s="149"/>
    </row>
    <row r="39" spans="2:38" ht="36" customHeight="1" x14ac:dyDescent="0.25">
      <c r="B39" s="175"/>
      <c r="C39" s="180"/>
      <c r="D39" s="5">
        <v>4.3</v>
      </c>
      <c r="E39" s="118" t="s">
        <v>631</v>
      </c>
      <c r="F39" s="130" t="s">
        <v>272</v>
      </c>
      <c r="G39" s="130" t="s">
        <v>271</v>
      </c>
      <c r="H39" s="130" t="s">
        <v>270</v>
      </c>
      <c r="I39" s="130" t="s">
        <v>268</v>
      </c>
      <c r="J39" s="130" t="s">
        <v>265</v>
      </c>
      <c r="K39" s="130" t="s">
        <v>264</v>
      </c>
      <c r="L39" s="130" t="s">
        <v>266</v>
      </c>
      <c r="M39" s="130" t="s">
        <v>269</v>
      </c>
      <c r="N39" s="118" t="s">
        <v>267</v>
      </c>
      <c r="O39" s="119">
        <v>0</v>
      </c>
      <c r="P39" s="141">
        <f>SUMIFS(Scorecards!$K$5:$K$517, Scorecards!$B$5:$B$517, "CIP", Scorecards!$F$5:$F$517, "4.3")</f>
        <v>1</v>
      </c>
      <c r="Q39" s="119">
        <f>SUMIFS(Scorecards!$K$5:$K$517, Scorecards!$B$5:$B$517, "CN", Scorecards!$F$5:$F$517, "4.3")</f>
        <v>0</v>
      </c>
      <c r="R39" s="119">
        <f>SUMIFS(Scorecards!$K$5:$K$517, Scorecards!$B$5:$B$517, "CNG", Scorecards!$F$5:$F$517, "4.3")</f>
        <v>0</v>
      </c>
      <c r="S39" s="141">
        <v>0.5</v>
      </c>
      <c r="T39" s="119">
        <f>SUMIFS(Scorecards!$K$5:$K$517, Scorecards!$B$5:$B$517, "CP", Scorecards!$F$5:$F$517, "4.3")</f>
        <v>0</v>
      </c>
      <c r="U39" s="140">
        <v>2</v>
      </c>
      <c r="V39" s="141">
        <f>SUMIFS(Scorecards!$K$5:$K$517, Scorecards!$B$5:$B$517, "SCS", Scorecards!$F$5:$F$517, "4.3")</f>
        <v>1</v>
      </c>
      <c r="W39" s="140">
        <f>SUMIFS(Scorecards!$K$5:$K$517, Scorecards!$B$5:$B$517, "SP", Scorecards!$F$5:$F$517, "4.3")</f>
        <v>2</v>
      </c>
      <c r="X39" s="131">
        <f t="shared" si="31"/>
        <v>0.72222222222222221</v>
      </c>
      <c r="Y39" s="119">
        <v>2</v>
      </c>
      <c r="Z39" s="135">
        <f t="shared" si="32"/>
        <v>0.3611111111111111</v>
      </c>
      <c r="AA39" s="112"/>
      <c r="AB39" s="121">
        <f t="shared" si="33"/>
        <v>0</v>
      </c>
      <c r="AC39" s="114">
        <f t="shared" si="34"/>
        <v>0.5</v>
      </c>
      <c r="AD39" s="121">
        <f t="shared" si="35"/>
        <v>0</v>
      </c>
      <c r="AE39" s="121">
        <f t="shared" si="36"/>
        <v>0</v>
      </c>
      <c r="AF39" s="114">
        <f t="shared" si="37"/>
        <v>0.25</v>
      </c>
      <c r="AG39" s="121">
        <f t="shared" si="38"/>
        <v>0</v>
      </c>
      <c r="AH39" s="113">
        <f t="shared" si="39"/>
        <v>1</v>
      </c>
      <c r="AI39" s="114">
        <f t="shared" si="40"/>
        <v>0.5</v>
      </c>
      <c r="AJ39" s="113">
        <f t="shared" si="41"/>
        <v>1</v>
      </c>
      <c r="AK39" s="129">
        <f t="shared" si="10"/>
        <v>0.3611111111111111</v>
      </c>
      <c r="AL39" s="149"/>
    </row>
    <row r="40" spans="2:38" ht="36" customHeight="1" x14ac:dyDescent="0.25">
      <c r="B40" s="175"/>
      <c r="C40" s="180"/>
      <c r="D40" s="5">
        <v>4.4000000000000004</v>
      </c>
      <c r="E40" s="118" t="s">
        <v>676</v>
      </c>
      <c r="F40" s="130" t="s">
        <v>276</v>
      </c>
      <c r="G40" s="130" t="s">
        <v>276</v>
      </c>
      <c r="H40" s="130" t="s">
        <v>220</v>
      </c>
      <c r="I40" s="130" t="s">
        <v>220</v>
      </c>
      <c r="J40" s="130" t="s">
        <v>275</v>
      </c>
      <c r="K40" s="130" t="s">
        <v>264</v>
      </c>
      <c r="L40" s="130" t="s">
        <v>273</v>
      </c>
      <c r="M40" s="130" t="s">
        <v>274</v>
      </c>
      <c r="N40" s="118" t="s">
        <v>220</v>
      </c>
      <c r="O40" s="141">
        <v>3</v>
      </c>
      <c r="P40" s="141">
        <f>SUMIFS(Scorecards!$K$5:$K$517, Scorecards!$B$5:$B$517, "CIP", Scorecards!$F$5:$F$517, "4.4")</f>
        <v>1</v>
      </c>
      <c r="Q40" s="141">
        <f>SUMIFS(Scorecards!$K$5:$K$517, Scorecards!$B$5:$B$517, "CN", Scorecards!$F$5:$F$517, "4.4")</f>
        <v>6</v>
      </c>
      <c r="R40" s="141">
        <f>SUMIFS(Scorecards!$K$5:$K$517, Scorecards!$B$5:$B$517, "CNG", Scorecards!$F$5:$F$517, "4.4")</f>
        <v>2</v>
      </c>
      <c r="S40" s="119">
        <v>0</v>
      </c>
      <c r="T40" s="119">
        <f>SUMIFS(Scorecards!$K$5:$K$517, Scorecards!$B$5:$B$517, "CP", Scorecards!$F$5:$F$517, "4.4")</f>
        <v>0</v>
      </c>
      <c r="U40" s="141">
        <v>2</v>
      </c>
      <c r="V40" s="141">
        <f>SUMIFS(Scorecards!$K$5:$K$517, Scorecards!$B$5:$B$517, "SCS", Scorecards!$F$5:$F$517, "4.4")</f>
        <v>1</v>
      </c>
      <c r="W40" s="141">
        <f>SUMIFS(Scorecards!$K$5:$K$517, Scorecards!$B$5:$B$517, "SP", Scorecards!$F$5:$F$517, "4.4")</f>
        <v>3</v>
      </c>
      <c r="X40" s="131">
        <f t="shared" si="31"/>
        <v>2</v>
      </c>
      <c r="Y40" s="119">
        <v>7</v>
      </c>
      <c r="Z40" s="135">
        <f t="shared" si="32"/>
        <v>0.2857142857142857</v>
      </c>
      <c r="AA40" s="112"/>
      <c r="AB40" s="114">
        <f t="shared" si="33"/>
        <v>0.42857142857142855</v>
      </c>
      <c r="AC40" s="114">
        <f t="shared" si="34"/>
        <v>0.14285714285714285</v>
      </c>
      <c r="AD40" s="114">
        <f t="shared" si="35"/>
        <v>0.8571428571428571</v>
      </c>
      <c r="AE40" s="114">
        <f t="shared" si="36"/>
        <v>0.2857142857142857</v>
      </c>
      <c r="AF40" s="121">
        <f t="shared" si="37"/>
        <v>0</v>
      </c>
      <c r="AG40" s="121">
        <f t="shared" si="38"/>
        <v>0</v>
      </c>
      <c r="AH40" s="114">
        <f t="shared" si="39"/>
        <v>0.2857142857142857</v>
      </c>
      <c r="AI40" s="114">
        <f t="shared" si="40"/>
        <v>0.14285714285714285</v>
      </c>
      <c r="AJ40" s="114">
        <f t="shared" si="41"/>
        <v>0.42857142857142855</v>
      </c>
      <c r="AK40" s="129">
        <f t="shared" si="10"/>
        <v>0.28571428571428564</v>
      </c>
      <c r="AL40" s="149"/>
    </row>
    <row r="41" spans="2:38" ht="28.5" customHeight="1" x14ac:dyDescent="0.25">
      <c r="B41" s="175"/>
      <c r="C41" s="180"/>
      <c r="D41" s="5">
        <v>4.5</v>
      </c>
      <c r="E41" s="118" t="s">
        <v>677</v>
      </c>
      <c r="F41" s="130" t="s">
        <v>245</v>
      </c>
      <c r="G41" s="130" t="s">
        <v>225</v>
      </c>
      <c r="H41" s="130" t="s">
        <v>225</v>
      </c>
      <c r="I41" s="118" t="s">
        <v>225</v>
      </c>
      <c r="J41" s="130" t="s">
        <v>275</v>
      </c>
      <c r="K41" s="130" t="s">
        <v>225</v>
      </c>
      <c r="L41" s="118" t="s">
        <v>225</v>
      </c>
      <c r="M41" s="118" t="s">
        <v>225</v>
      </c>
      <c r="N41" s="118" t="s">
        <v>225</v>
      </c>
      <c r="O41" s="119">
        <v>0</v>
      </c>
      <c r="P41" s="140">
        <f>SUMIFS(Scorecards!$K$5:$K$517, Scorecards!$B$5:$B$517, "CIP", Scorecards!$F$5:$F$517, "4.5")</f>
        <v>1</v>
      </c>
      <c r="Q41" s="140">
        <f>SUMIFS(Scorecards!$K$5:$K$517, Scorecards!$B$5:$B$517, "CN", Scorecards!$F$5:$F$517, "4.5")</f>
        <v>1</v>
      </c>
      <c r="R41" s="140">
        <f>SUMIFS(Scorecards!$K$5:$K$517, Scorecards!$B$5:$B$517, "CNG", Scorecards!$F$5:$F$517, "4.5")</f>
        <v>1</v>
      </c>
      <c r="S41" s="119">
        <v>0</v>
      </c>
      <c r="T41" s="140">
        <f>SUMIFS(Scorecards!$K$5:$K$517, Scorecards!$B$5:$B$517, "CP", Scorecards!$F$5:$F$517, "4.5")</f>
        <v>1</v>
      </c>
      <c r="U41" s="140">
        <v>1</v>
      </c>
      <c r="V41" s="140">
        <f>SUMIFS(Scorecards!$K$5:$K$517, Scorecards!$B$5:$B$517, "SCS", Scorecards!$F$5:$F$517, "4.5")</f>
        <v>1</v>
      </c>
      <c r="W41" s="140">
        <f>SUMIFS(Scorecards!$K$5:$K$517, Scorecards!$B$5:$B$517, "SP", Scorecards!$F$5:$F$517, "4.5")</f>
        <v>1</v>
      </c>
      <c r="X41" s="131">
        <f t="shared" si="31"/>
        <v>0.77777777777777779</v>
      </c>
      <c r="Y41" s="119">
        <v>1</v>
      </c>
      <c r="Z41" s="135">
        <f t="shared" si="32"/>
        <v>0.77777777777777779</v>
      </c>
      <c r="AA41" s="112"/>
      <c r="AB41" s="121">
        <f t="shared" si="33"/>
        <v>0</v>
      </c>
      <c r="AC41" s="113">
        <f t="shared" si="34"/>
        <v>1</v>
      </c>
      <c r="AD41" s="113">
        <f t="shared" si="35"/>
        <v>1</v>
      </c>
      <c r="AE41" s="113">
        <f t="shared" si="36"/>
        <v>1</v>
      </c>
      <c r="AF41" s="121">
        <f t="shared" si="37"/>
        <v>0</v>
      </c>
      <c r="AG41" s="113">
        <f t="shared" si="38"/>
        <v>1</v>
      </c>
      <c r="AH41" s="113">
        <f t="shared" si="39"/>
        <v>1</v>
      </c>
      <c r="AI41" s="113">
        <f t="shared" si="40"/>
        <v>1</v>
      </c>
      <c r="AJ41" s="113">
        <f t="shared" si="41"/>
        <v>1</v>
      </c>
      <c r="AK41" s="129">
        <f t="shared" si="10"/>
        <v>0.77777777777777779</v>
      </c>
      <c r="AL41" s="149"/>
    </row>
    <row r="42" spans="2:38" ht="36" customHeight="1" x14ac:dyDescent="0.25">
      <c r="B42" s="175"/>
      <c r="C42" s="180"/>
      <c r="D42" s="5">
        <v>4.5999999999999996</v>
      </c>
      <c r="E42" s="118" t="s">
        <v>634</v>
      </c>
      <c r="F42" s="130" t="s">
        <v>226</v>
      </c>
      <c r="G42" s="130" t="s">
        <v>277</v>
      </c>
      <c r="H42" s="130" t="s">
        <v>225</v>
      </c>
      <c r="I42" s="118" t="s">
        <v>225</v>
      </c>
      <c r="J42" s="130" t="s">
        <v>275</v>
      </c>
      <c r="K42" s="130" t="s">
        <v>226</v>
      </c>
      <c r="L42" s="118" t="s">
        <v>226</v>
      </c>
      <c r="M42" s="130" t="s">
        <v>226</v>
      </c>
      <c r="N42" s="118" t="s">
        <v>226</v>
      </c>
      <c r="O42" s="119">
        <v>0</v>
      </c>
      <c r="P42" s="141">
        <f>SUMIFS(Scorecards!$K$5:$K$517, Scorecards!$B$5:$B$517, "CIP", Scorecards!$F$5:$F$517, "4.6")</f>
        <v>0.5</v>
      </c>
      <c r="Q42" s="140">
        <f>SUMIFS(Scorecards!$K$5:$K$517, Scorecards!$B$5:$B$517, "CN", Scorecards!$F$5:$F$517, "4.6")</f>
        <v>1</v>
      </c>
      <c r="R42" s="140">
        <f>SUMIFS(Scorecards!$K$5:$K$517, Scorecards!$B$5:$B$517, "CNG", Scorecards!$F$5:$F$517, "4.6")</f>
        <v>1</v>
      </c>
      <c r="S42" s="119">
        <v>0</v>
      </c>
      <c r="T42" s="140">
        <f>SUMIFS(Scorecards!$K$5:$K$517, Scorecards!$B$5:$B$517, "CP", Scorecards!$F$5:$F$517, "3.6")</f>
        <v>1</v>
      </c>
      <c r="U42" s="119">
        <v>0</v>
      </c>
      <c r="V42" s="119">
        <f>SUMIFS(Scorecards!$K$5:$K$517, Scorecards!$B$5:$B$517, "SCS", Scorecards!$F$5:$F$517, "3.6")</f>
        <v>0</v>
      </c>
      <c r="W42" s="119">
        <f>SUMIFS(Scorecards!$K$5:$K$517, Scorecards!$B$5:$B$517, "SP", Scorecards!$F$5:$F$517, "3.6")</f>
        <v>0</v>
      </c>
      <c r="X42" s="131">
        <f t="shared" si="31"/>
        <v>0.3888888888888889</v>
      </c>
      <c r="Y42" s="119">
        <v>1</v>
      </c>
      <c r="Z42" s="135">
        <f t="shared" si="32"/>
        <v>0.3888888888888889</v>
      </c>
      <c r="AA42" s="112"/>
      <c r="AB42" s="121">
        <f t="shared" si="33"/>
        <v>0</v>
      </c>
      <c r="AC42" s="114">
        <f t="shared" si="34"/>
        <v>0.5</v>
      </c>
      <c r="AD42" s="113">
        <f t="shared" si="35"/>
        <v>1</v>
      </c>
      <c r="AE42" s="113">
        <f t="shared" si="36"/>
        <v>1</v>
      </c>
      <c r="AF42" s="121">
        <f t="shared" si="37"/>
        <v>0</v>
      </c>
      <c r="AG42" s="113">
        <f t="shared" si="38"/>
        <v>1</v>
      </c>
      <c r="AH42" s="121">
        <f t="shared" si="39"/>
        <v>0</v>
      </c>
      <c r="AI42" s="121">
        <f t="shared" si="40"/>
        <v>0</v>
      </c>
      <c r="AJ42" s="121">
        <f t="shared" si="41"/>
        <v>0</v>
      </c>
      <c r="AK42" s="129">
        <f t="shared" si="10"/>
        <v>0.3888888888888889</v>
      </c>
      <c r="AL42" s="149"/>
    </row>
    <row r="43" spans="2:38" ht="28.5" customHeight="1" x14ac:dyDescent="0.25">
      <c r="B43" s="175"/>
      <c r="C43" s="180"/>
      <c r="D43" s="5">
        <v>4.7</v>
      </c>
      <c r="E43" s="118" t="s">
        <v>635</v>
      </c>
      <c r="F43" s="130" t="s">
        <v>245</v>
      </c>
      <c r="G43" s="130" t="s">
        <v>225</v>
      </c>
      <c r="H43" s="130" t="s">
        <v>226</v>
      </c>
      <c r="I43" s="118" t="s">
        <v>225</v>
      </c>
      <c r="J43" s="130" t="s">
        <v>226</v>
      </c>
      <c r="K43" s="130" t="s">
        <v>226</v>
      </c>
      <c r="L43" s="118" t="s">
        <v>225</v>
      </c>
      <c r="M43" s="118" t="s">
        <v>225</v>
      </c>
      <c r="N43" s="118" t="s">
        <v>226</v>
      </c>
      <c r="O43" s="119">
        <v>0</v>
      </c>
      <c r="P43" s="119">
        <f>SUMIFS(Scorecards!$K$5:$K$517, Scorecards!$B$5:$B$517, "CIP", Scorecards!$F$5:$F$517, "4.7")</f>
        <v>0</v>
      </c>
      <c r="Q43" s="119">
        <f>SUMIFS(Scorecards!$K$5:$K$517, Scorecards!$B$5:$B$517, "CN", Scorecards!$F$5:$F$517, "4.7")</f>
        <v>0</v>
      </c>
      <c r="R43" s="141">
        <f>SUMIFS(Scorecards!$K$5:$K$517, Scorecards!$B$5:$B$517, "CNG", Scorecards!$F$5:$F$517, "4.7")</f>
        <v>0.5</v>
      </c>
      <c r="S43" s="119">
        <v>0</v>
      </c>
      <c r="T43" s="119">
        <f>SUMIFS(Scorecards!$K$5:$K$517, Scorecards!$B$5:$B$517, "CP", Scorecards!$F$5:$F$517, "4.7")</f>
        <v>0</v>
      </c>
      <c r="U43" s="119">
        <v>0</v>
      </c>
      <c r="V43" s="141">
        <f>SUMIFS(Scorecards!$K$5:$K$517, Scorecards!$B$5:$B$517, "SCS", Scorecards!$F$5:$F$517, "4.7")</f>
        <v>0.5</v>
      </c>
      <c r="W43" s="119">
        <f>SUMIFS(Scorecards!$K$5:$K$517, Scorecards!$B$5:$B$517, "SP", Scorecards!$F$5:$F$517, "4.7")</f>
        <v>0</v>
      </c>
      <c r="X43" s="131">
        <f t="shared" si="31"/>
        <v>0.1111111111111111</v>
      </c>
      <c r="Y43" s="119">
        <v>1</v>
      </c>
      <c r="Z43" s="135">
        <f t="shared" si="32"/>
        <v>0.1111111111111111</v>
      </c>
      <c r="AA43" s="112"/>
      <c r="AB43" s="121">
        <f t="shared" si="33"/>
        <v>0</v>
      </c>
      <c r="AC43" s="121">
        <f t="shared" si="34"/>
        <v>0</v>
      </c>
      <c r="AD43" s="121">
        <f t="shared" si="35"/>
        <v>0</v>
      </c>
      <c r="AE43" s="114">
        <f t="shared" si="36"/>
        <v>0.5</v>
      </c>
      <c r="AF43" s="121">
        <f t="shared" si="37"/>
        <v>0</v>
      </c>
      <c r="AG43" s="121">
        <f t="shared" si="38"/>
        <v>0</v>
      </c>
      <c r="AH43" s="121">
        <f t="shared" si="39"/>
        <v>0</v>
      </c>
      <c r="AI43" s="114">
        <f t="shared" si="40"/>
        <v>0.5</v>
      </c>
      <c r="AJ43" s="121">
        <f t="shared" si="41"/>
        <v>0</v>
      </c>
      <c r="AK43" s="129">
        <f t="shared" si="10"/>
        <v>0.1111111111111111</v>
      </c>
      <c r="AL43" s="149"/>
    </row>
    <row r="44" spans="2:38" ht="28.5" customHeight="1" x14ac:dyDescent="0.25">
      <c r="B44" s="175"/>
      <c r="C44" s="180"/>
      <c r="D44" s="5">
        <v>4.8</v>
      </c>
      <c r="E44" s="118" t="s">
        <v>156</v>
      </c>
      <c r="F44" s="130" t="s">
        <v>226</v>
      </c>
      <c r="G44" s="130" t="s">
        <v>226</v>
      </c>
      <c r="H44" s="130" t="s">
        <v>226</v>
      </c>
      <c r="I44" s="118" t="s">
        <v>225</v>
      </c>
      <c r="J44" s="130" t="s">
        <v>226</v>
      </c>
      <c r="K44" s="130" t="s">
        <v>226</v>
      </c>
      <c r="L44" s="118" t="s">
        <v>226</v>
      </c>
      <c r="M44" s="130" t="s">
        <v>245</v>
      </c>
      <c r="N44" s="118" t="s">
        <v>226</v>
      </c>
      <c r="O44" s="119">
        <v>0</v>
      </c>
      <c r="P44" s="119">
        <f>SUMIFS(Scorecards!$K$5:$K$517, Scorecards!$B$5:$B$517, "CIP", Scorecards!$F$5:$F$517, "4.8")</f>
        <v>0</v>
      </c>
      <c r="Q44" s="119">
        <f>SUMIFS(Scorecards!$K$5:$K$517, Scorecards!$B$5:$B$517, "CN", Scorecards!$F$5:$F$517, "4.8")</f>
        <v>0</v>
      </c>
      <c r="R44" s="141">
        <f>SUMIFS(Scorecards!$K$5:$K$517, Scorecards!$B$5:$B$517, "CNG", Scorecards!$F$5:$F$517, "4.8")</f>
        <v>0.5</v>
      </c>
      <c r="S44" s="119">
        <v>0</v>
      </c>
      <c r="T44" s="119">
        <f>SUMIFS(Scorecards!$K$5:$K$517, Scorecards!$B$5:$B$517, "CP", Scorecards!$F$5:$F$517, "4.8")</f>
        <v>0</v>
      </c>
      <c r="U44" s="119">
        <v>0</v>
      </c>
      <c r="V44" s="141">
        <f>SUMIFS(Scorecards!$K$5:$K$517, Scorecards!$B$5:$B$517, "SCS", Scorecards!$F$5:$F$517, "4.8")</f>
        <v>0.5</v>
      </c>
      <c r="W44" s="119">
        <f>SUMIFS(Scorecards!$K$5:$K$517, Scorecards!$B$5:$B$517, "SP", Scorecards!$F$5:$F$517, "4.8")</f>
        <v>0</v>
      </c>
      <c r="X44" s="131">
        <f t="shared" si="31"/>
        <v>0.1111111111111111</v>
      </c>
      <c r="Y44" s="119">
        <v>1</v>
      </c>
      <c r="Z44" s="135">
        <f t="shared" si="32"/>
        <v>0.1111111111111111</v>
      </c>
      <c r="AA44" s="112"/>
      <c r="AB44" s="121">
        <f t="shared" si="33"/>
        <v>0</v>
      </c>
      <c r="AC44" s="121">
        <f t="shared" si="34"/>
        <v>0</v>
      </c>
      <c r="AD44" s="121">
        <f t="shared" si="35"/>
        <v>0</v>
      </c>
      <c r="AE44" s="114">
        <f t="shared" si="36"/>
        <v>0.5</v>
      </c>
      <c r="AF44" s="121">
        <f t="shared" si="37"/>
        <v>0</v>
      </c>
      <c r="AG44" s="121">
        <f t="shared" si="38"/>
        <v>0</v>
      </c>
      <c r="AH44" s="121">
        <f t="shared" si="39"/>
        <v>0</v>
      </c>
      <c r="AI44" s="114">
        <f t="shared" si="40"/>
        <v>0.5</v>
      </c>
      <c r="AJ44" s="121">
        <f t="shared" si="41"/>
        <v>0</v>
      </c>
      <c r="AK44" s="129">
        <f t="shared" si="10"/>
        <v>0.1111111111111111</v>
      </c>
      <c r="AL44" s="149"/>
    </row>
    <row r="45" spans="2:38" ht="28.5" customHeight="1" x14ac:dyDescent="0.25">
      <c r="B45" s="175"/>
      <c r="C45" s="180"/>
      <c r="D45" s="5">
        <v>4.9000000000000004</v>
      </c>
      <c r="E45" s="118" t="s">
        <v>636</v>
      </c>
      <c r="F45" s="130" t="s">
        <v>225</v>
      </c>
      <c r="G45" s="130" t="s">
        <v>226</v>
      </c>
      <c r="H45" s="130" t="s">
        <v>225</v>
      </c>
      <c r="I45" s="118" t="s">
        <v>225</v>
      </c>
      <c r="J45" s="130" t="s">
        <v>225</v>
      </c>
      <c r="K45" s="130" t="s">
        <v>226</v>
      </c>
      <c r="L45" s="130" t="s">
        <v>225</v>
      </c>
      <c r="M45" s="118" t="s">
        <v>225</v>
      </c>
      <c r="N45" s="118" t="s">
        <v>225</v>
      </c>
      <c r="O45" s="140">
        <v>1</v>
      </c>
      <c r="P45" s="119">
        <f>SUMIFS(Scorecards!$K$5:$K$517, Scorecards!$B$5:$B$517, "CIP", Scorecards!$F$5:$F$517, "4.9")</f>
        <v>0</v>
      </c>
      <c r="Q45" s="140">
        <f>SUMIFS(Scorecards!$K$5:$K$517, Scorecards!$B$5:$B$517, "CN", Scorecards!$F$5:$F$517, "4.9")</f>
        <v>1</v>
      </c>
      <c r="R45" s="140">
        <f>SUMIFS(Scorecards!$K$5:$K$517, Scorecards!$B$5:$B$517, "CNG", Scorecards!$F$5:$F$517, "4.9")</f>
        <v>1</v>
      </c>
      <c r="S45" s="119">
        <v>0</v>
      </c>
      <c r="T45" s="119">
        <f>SUMIFS(Scorecards!$K$5:$K$517, Scorecards!$B$5:$B$517, "CP", Scorecards!$F$5:$F$517, "4.9")</f>
        <v>0</v>
      </c>
      <c r="U45" s="140">
        <v>1</v>
      </c>
      <c r="V45" s="140">
        <f>SUMIFS(Scorecards!$K$5:$K$517, Scorecards!$B$5:$B$517, "SCS", Scorecards!$F$5:$F$517, "4.9")</f>
        <v>1</v>
      </c>
      <c r="W45" s="140">
        <f>SUMIFS(Scorecards!$K$5:$K$517, Scorecards!$B$5:$B$517, "SP", Scorecards!$F$5:$F$517, "4.9")</f>
        <v>1</v>
      </c>
      <c r="X45" s="131">
        <f t="shared" si="31"/>
        <v>0.66666666666666663</v>
      </c>
      <c r="Y45" s="119">
        <v>1</v>
      </c>
      <c r="Z45" s="135">
        <f t="shared" si="32"/>
        <v>0.66666666666666663</v>
      </c>
      <c r="AA45" s="112"/>
      <c r="AB45" s="113">
        <f t="shared" si="33"/>
        <v>1</v>
      </c>
      <c r="AC45" s="121">
        <f t="shared" si="34"/>
        <v>0</v>
      </c>
      <c r="AD45" s="113">
        <f t="shared" si="35"/>
        <v>1</v>
      </c>
      <c r="AE45" s="113">
        <f t="shared" si="36"/>
        <v>1</v>
      </c>
      <c r="AF45" s="121">
        <f t="shared" si="37"/>
        <v>0</v>
      </c>
      <c r="AG45" s="121">
        <f t="shared" si="38"/>
        <v>0</v>
      </c>
      <c r="AH45" s="113">
        <f t="shared" si="39"/>
        <v>1</v>
      </c>
      <c r="AI45" s="113">
        <f t="shared" si="40"/>
        <v>1</v>
      </c>
      <c r="AJ45" s="113">
        <f t="shared" si="41"/>
        <v>1</v>
      </c>
      <c r="AK45" s="129">
        <f t="shared" si="10"/>
        <v>0.66666666666666663</v>
      </c>
      <c r="AL45" s="149"/>
    </row>
    <row r="46" spans="2:38" ht="28.5" customHeight="1" x14ac:dyDescent="0.25">
      <c r="B46" s="175"/>
      <c r="C46" s="180"/>
      <c r="D46" s="98">
        <v>4.0999999999999996</v>
      </c>
      <c r="E46" s="118" t="s">
        <v>637</v>
      </c>
      <c r="F46" s="130" t="s">
        <v>225</v>
      </c>
      <c r="G46" s="130" t="s">
        <v>225</v>
      </c>
      <c r="H46" s="130" t="s">
        <v>225</v>
      </c>
      <c r="I46" s="118" t="s">
        <v>226</v>
      </c>
      <c r="J46" s="130" t="s">
        <v>278</v>
      </c>
      <c r="K46" s="130" t="s">
        <v>226</v>
      </c>
      <c r="L46" s="130" t="s">
        <v>225</v>
      </c>
      <c r="M46" s="118" t="s">
        <v>245</v>
      </c>
      <c r="N46" s="118" t="s">
        <v>225</v>
      </c>
      <c r="O46" s="140">
        <v>1</v>
      </c>
      <c r="P46" s="140">
        <f>SUMIFS(Scorecards!$K$5:$K$517, Scorecards!$B$5:$B$517, "CIP", Scorecards!$E$5:$E$517, "54")</f>
        <v>1</v>
      </c>
      <c r="Q46" s="140">
        <f>SUMIFS(Scorecards!$K$5:$K$517, Scorecards!$B$5:$B$517, "CN", Scorecards!$E$5:$E$517, "54")</f>
        <v>1</v>
      </c>
      <c r="R46" s="119">
        <f>SUMIFS(Scorecards!$K$5:$K$517, Scorecards!$B$5:$B$517, "CNG", Scorecards!$E$5:$E$517, "54")</f>
        <v>0</v>
      </c>
      <c r="S46" s="119">
        <v>0</v>
      </c>
      <c r="T46" s="119">
        <f>SUMIFS(Scorecards!$K$5:$K$517, Scorecards!$B$5:$B$517, "CP", Scorecards!$E$5:$E$517, "54")</f>
        <v>0</v>
      </c>
      <c r="U46" s="140">
        <v>1</v>
      </c>
      <c r="V46" s="141">
        <f>SUMIFS(Scorecards!$K$5:$K$517, Scorecards!$B$5:$B$517, "SCS", Scorecards!$E$5:$E$517, "54")</f>
        <v>0.5</v>
      </c>
      <c r="W46" s="140">
        <f>SUMIFS(Scorecards!$K$5:$K$517, Scorecards!$B$5:$B$517, "SP", Scorecards!$E$5:$E$517, "54")</f>
        <v>1</v>
      </c>
      <c r="X46" s="131">
        <f t="shared" si="31"/>
        <v>0.61111111111111116</v>
      </c>
      <c r="Y46" s="119">
        <v>1</v>
      </c>
      <c r="Z46" s="135">
        <f t="shared" si="32"/>
        <v>0.61111111111111116</v>
      </c>
      <c r="AA46" s="112"/>
      <c r="AB46" s="113">
        <f t="shared" si="33"/>
        <v>1</v>
      </c>
      <c r="AC46" s="113">
        <f t="shared" si="34"/>
        <v>1</v>
      </c>
      <c r="AD46" s="113">
        <f t="shared" si="35"/>
        <v>1</v>
      </c>
      <c r="AE46" s="121">
        <f t="shared" si="36"/>
        <v>0</v>
      </c>
      <c r="AF46" s="121">
        <f t="shared" si="37"/>
        <v>0</v>
      </c>
      <c r="AG46" s="121">
        <f t="shared" si="38"/>
        <v>0</v>
      </c>
      <c r="AH46" s="113">
        <f t="shared" si="39"/>
        <v>1</v>
      </c>
      <c r="AI46" s="114">
        <f t="shared" si="40"/>
        <v>0.5</v>
      </c>
      <c r="AJ46" s="113">
        <f t="shared" si="41"/>
        <v>1</v>
      </c>
      <c r="AK46" s="129">
        <f t="shared" si="10"/>
        <v>0.61111111111111116</v>
      </c>
      <c r="AL46" s="149"/>
    </row>
    <row r="47" spans="2:38" ht="28.5" customHeight="1" x14ac:dyDescent="0.25">
      <c r="B47" s="175"/>
      <c r="C47" s="180"/>
      <c r="D47" s="5">
        <v>4.1100000000000003</v>
      </c>
      <c r="E47" s="118" t="s">
        <v>638</v>
      </c>
      <c r="F47" s="130" t="s">
        <v>226</v>
      </c>
      <c r="G47" s="130" t="s">
        <v>226</v>
      </c>
      <c r="H47" s="130" t="s">
        <v>226</v>
      </c>
      <c r="I47" s="118" t="s">
        <v>226</v>
      </c>
      <c r="J47" s="130" t="s">
        <v>226</v>
      </c>
      <c r="K47" s="130" t="s">
        <v>226</v>
      </c>
      <c r="L47" s="130" t="s">
        <v>226</v>
      </c>
      <c r="M47" s="130" t="s">
        <v>226</v>
      </c>
      <c r="N47" s="118" t="s">
        <v>226</v>
      </c>
      <c r="O47" s="119">
        <v>0</v>
      </c>
      <c r="P47" s="119">
        <f>SUMIFS(Scorecards!$K$5:$K$517, Scorecards!$B$5:$B$517, "CIP", Scorecards!$F$5:$F$517, "4.11")</f>
        <v>0</v>
      </c>
      <c r="Q47" s="119">
        <f>SUMIFS(Scorecards!$K$5:$K$517, Scorecards!$B$5:$B$517, "CN", Scorecards!$F$5:$F$517, "4.11")</f>
        <v>0</v>
      </c>
      <c r="R47" s="119">
        <f>SUMIFS(Scorecards!$K$5:$K$517, Scorecards!$B$5:$B$517, "CNG", Scorecards!$F$5:$F$517, "4.11")</f>
        <v>0</v>
      </c>
      <c r="S47" s="140">
        <v>1</v>
      </c>
      <c r="T47" s="119">
        <f>SUMIFS(Scorecards!$K$5:$K$517, Scorecards!$B$5:$B$517, "CP", Scorecards!$F$5:$F$517, "4.11")</f>
        <v>0</v>
      </c>
      <c r="U47" s="119">
        <v>0</v>
      </c>
      <c r="V47" s="119">
        <f>SUMIFS(Scorecards!$K$5:$K$517, Scorecards!$B$5:$B$517, "SCS", Scorecards!$F$5:$F$517, "4.11")</f>
        <v>0</v>
      </c>
      <c r="W47" s="119">
        <f>SUMIFS(Scorecards!$K$5:$K$517, Scorecards!$B$5:$B$517, "SP", Scorecards!$F$5:$F$517, "4.11")</f>
        <v>0</v>
      </c>
      <c r="X47" s="131">
        <f t="shared" si="31"/>
        <v>0.1111111111111111</v>
      </c>
      <c r="Y47" s="119">
        <v>1</v>
      </c>
      <c r="Z47" s="135">
        <f t="shared" si="32"/>
        <v>0.1111111111111111</v>
      </c>
      <c r="AA47" s="112"/>
      <c r="AB47" s="121">
        <f t="shared" si="33"/>
        <v>0</v>
      </c>
      <c r="AC47" s="121">
        <f t="shared" si="34"/>
        <v>0</v>
      </c>
      <c r="AD47" s="121">
        <f t="shared" si="35"/>
        <v>0</v>
      </c>
      <c r="AE47" s="121">
        <f t="shared" si="36"/>
        <v>0</v>
      </c>
      <c r="AF47" s="113">
        <f t="shared" si="37"/>
        <v>1</v>
      </c>
      <c r="AG47" s="121">
        <f t="shared" si="38"/>
        <v>0</v>
      </c>
      <c r="AH47" s="121">
        <f t="shared" si="39"/>
        <v>0</v>
      </c>
      <c r="AI47" s="121">
        <f t="shared" si="40"/>
        <v>0</v>
      </c>
      <c r="AJ47" s="121">
        <f t="shared" si="41"/>
        <v>0</v>
      </c>
      <c r="AK47" s="129">
        <f t="shared" si="10"/>
        <v>0.1111111111111111</v>
      </c>
      <c r="AL47" s="149"/>
    </row>
    <row r="48" spans="2:38" ht="28.5" customHeight="1" x14ac:dyDescent="0.25">
      <c r="B48" s="175"/>
      <c r="C48" s="180"/>
      <c r="D48" s="5">
        <v>4.12</v>
      </c>
      <c r="E48" s="118" t="s">
        <v>639</v>
      </c>
      <c r="F48" s="130" t="s">
        <v>225</v>
      </c>
      <c r="G48" s="130" t="s">
        <v>279</v>
      </c>
      <c r="H48" s="130" t="s">
        <v>225</v>
      </c>
      <c r="I48" s="118" t="s">
        <v>245</v>
      </c>
      <c r="J48" s="130" t="s">
        <v>225</v>
      </c>
      <c r="K48" s="130" t="s">
        <v>225</v>
      </c>
      <c r="L48" s="118" t="s">
        <v>245</v>
      </c>
      <c r="M48" s="130" t="s">
        <v>245</v>
      </c>
      <c r="N48" s="118" t="s">
        <v>245</v>
      </c>
      <c r="O48" s="140">
        <v>1</v>
      </c>
      <c r="P48" s="141">
        <f>SUMIFS(Scorecards!$K$5:$K$517, Scorecards!$B$5:$B$517, "CIP", Scorecards!$F$5:$F$517, "4.12")</f>
        <v>0.5</v>
      </c>
      <c r="Q48" s="140">
        <f>SUMIFS(Scorecards!$K$5:$K$517, Scorecards!$B$5:$B$517, "CN", Scorecards!$F$5:$F$517, "4.12")</f>
        <v>1</v>
      </c>
      <c r="R48" s="119">
        <f>SUMIFS(Scorecards!$K$5:$K$517, Scorecards!$B$5:$B$517, "CNG", Scorecards!$F$5:$F$517, "4.12")</f>
        <v>0</v>
      </c>
      <c r="S48" s="119">
        <v>0</v>
      </c>
      <c r="T48" s="140">
        <f>SUMIFS(Scorecards!$K$5:$K$517, Scorecards!$B$5:$B$517, "CP", Scorecards!$F$5:$F$517, "4.12")</f>
        <v>1</v>
      </c>
      <c r="U48" s="119">
        <v>0</v>
      </c>
      <c r="V48" s="140">
        <f>SUMIFS(Scorecards!$K$5:$K$517, Scorecards!$B$5:$B$517, "SCS", Scorecards!$F$5:$F$517, "4.12")</f>
        <v>1</v>
      </c>
      <c r="W48" s="140">
        <f>SUMIFS(Scorecards!$K$5:$K$517, Scorecards!$B$5:$B$517, "SP", Scorecards!$F$5:$F$517, "4.12")</f>
        <v>1</v>
      </c>
      <c r="X48" s="131">
        <f t="shared" si="31"/>
        <v>0.61111111111111116</v>
      </c>
      <c r="Y48" s="119">
        <v>1</v>
      </c>
      <c r="Z48" s="135">
        <f t="shared" si="32"/>
        <v>0.61111111111111116</v>
      </c>
      <c r="AA48" s="112"/>
      <c r="AB48" s="113">
        <f t="shared" si="33"/>
        <v>1</v>
      </c>
      <c r="AC48" s="114">
        <f t="shared" si="34"/>
        <v>0.5</v>
      </c>
      <c r="AD48" s="113">
        <f t="shared" si="35"/>
        <v>1</v>
      </c>
      <c r="AE48" s="121">
        <f t="shared" si="36"/>
        <v>0</v>
      </c>
      <c r="AF48" s="121">
        <f t="shared" si="37"/>
        <v>0</v>
      </c>
      <c r="AG48" s="113">
        <f t="shared" si="38"/>
        <v>1</v>
      </c>
      <c r="AH48" s="121">
        <f t="shared" si="39"/>
        <v>0</v>
      </c>
      <c r="AI48" s="113">
        <f t="shared" si="40"/>
        <v>1</v>
      </c>
      <c r="AJ48" s="113">
        <f t="shared" si="41"/>
        <v>1</v>
      </c>
      <c r="AK48" s="129">
        <f t="shared" si="10"/>
        <v>0.61111111111111116</v>
      </c>
      <c r="AL48" s="149"/>
    </row>
    <row r="49" spans="2:38" ht="28.5" customHeight="1" x14ac:dyDescent="0.25">
      <c r="B49" s="175"/>
      <c r="C49" s="180"/>
      <c r="D49" s="5">
        <v>4.13</v>
      </c>
      <c r="E49" s="118" t="s">
        <v>640</v>
      </c>
      <c r="F49" s="130" t="s">
        <v>226</v>
      </c>
      <c r="G49" s="130" t="s">
        <v>226</v>
      </c>
      <c r="H49" s="130" t="s">
        <v>225</v>
      </c>
      <c r="I49" s="130" t="s">
        <v>226</v>
      </c>
      <c r="J49" s="130" t="s">
        <v>226</v>
      </c>
      <c r="K49" s="130" t="s">
        <v>226</v>
      </c>
      <c r="L49" s="130" t="s">
        <v>280</v>
      </c>
      <c r="M49" s="130" t="s">
        <v>226</v>
      </c>
      <c r="N49" s="118" t="s">
        <v>281</v>
      </c>
      <c r="O49" s="119">
        <v>0</v>
      </c>
      <c r="P49" s="119">
        <f>SUMIFS(Scorecards!$K$5:$K$517, Scorecards!$B$5:$B$517, "CIP", Scorecards!$F$5:$F$517, "4.13")</f>
        <v>0</v>
      </c>
      <c r="Q49" s="119">
        <f>SUMIFS(Scorecards!$K$5:$K$517, Scorecards!$B$5:$B$517, "CN", Scorecards!$F$5:$F$517, "4.13")</f>
        <v>0</v>
      </c>
      <c r="R49" s="119">
        <f>SUMIFS(Scorecards!$K$5:$K$517, Scorecards!$B$5:$B$517, "CNG", Scorecards!$F$5:$F$517, "4.13")</f>
        <v>0</v>
      </c>
      <c r="S49" s="119">
        <v>0</v>
      </c>
      <c r="T49" s="140">
        <f>SUMIFS(Scorecards!$K$5:$K$517, Scorecards!$B$5:$B$517, "CP", Scorecards!$F$5:$F$517, "4.13")</f>
        <v>1</v>
      </c>
      <c r="U49" s="140">
        <v>1</v>
      </c>
      <c r="V49" s="119">
        <f>SUMIFS(Scorecards!$K$5:$K$517, Scorecards!$B$5:$B$517, "SCS", Scorecards!$F$5:$F$517, "4.13")</f>
        <v>0</v>
      </c>
      <c r="W49" s="119">
        <f>SUMIFS(Scorecards!$K$5:$K$517, Scorecards!$B$5:$B$517, "SP", Scorecards!$F$5:$F$517, "4.13")</f>
        <v>0</v>
      </c>
      <c r="X49" s="131">
        <f t="shared" si="31"/>
        <v>0.22222222222222221</v>
      </c>
      <c r="Y49" s="119">
        <v>1</v>
      </c>
      <c r="Z49" s="135">
        <f t="shared" si="32"/>
        <v>0.22222222222222221</v>
      </c>
      <c r="AA49" s="112"/>
      <c r="AB49" s="121">
        <f t="shared" si="33"/>
        <v>0</v>
      </c>
      <c r="AC49" s="121">
        <f t="shared" si="34"/>
        <v>0</v>
      </c>
      <c r="AD49" s="121">
        <f t="shared" si="35"/>
        <v>0</v>
      </c>
      <c r="AE49" s="121">
        <f t="shared" si="36"/>
        <v>0</v>
      </c>
      <c r="AF49" s="121">
        <f t="shared" si="37"/>
        <v>0</v>
      </c>
      <c r="AG49" s="113">
        <f t="shared" si="38"/>
        <v>1</v>
      </c>
      <c r="AH49" s="113">
        <f t="shared" si="39"/>
        <v>1</v>
      </c>
      <c r="AI49" s="121">
        <f t="shared" si="40"/>
        <v>0</v>
      </c>
      <c r="AJ49" s="121">
        <f t="shared" si="41"/>
        <v>0</v>
      </c>
      <c r="AK49" s="129">
        <f t="shared" si="10"/>
        <v>0.22222222222222221</v>
      </c>
      <c r="AL49" s="149"/>
    </row>
    <row r="50" spans="2:38" ht="28.5" customHeight="1" x14ac:dyDescent="0.25">
      <c r="B50" s="176"/>
      <c r="C50" s="180"/>
      <c r="D50" s="101"/>
      <c r="E50" s="123" t="s">
        <v>689</v>
      </c>
      <c r="F50" s="124"/>
      <c r="G50" s="124"/>
      <c r="H50" s="124"/>
      <c r="I50" s="124"/>
      <c r="J50" s="124"/>
      <c r="K50" s="124"/>
      <c r="L50" s="124"/>
      <c r="M50" s="124"/>
      <c r="N50" s="124"/>
      <c r="O50" s="137">
        <f t="shared" ref="O50:Y50" si="42">SUM(O37:O49)</f>
        <v>6.5</v>
      </c>
      <c r="P50" s="137">
        <f t="shared" si="42"/>
        <v>5</v>
      </c>
      <c r="Q50" s="137">
        <f t="shared" si="42"/>
        <v>11</v>
      </c>
      <c r="R50" s="137">
        <f t="shared" si="42"/>
        <v>7</v>
      </c>
      <c r="S50" s="137">
        <f t="shared" si="42"/>
        <v>2</v>
      </c>
      <c r="T50" s="137">
        <f t="shared" si="42"/>
        <v>5</v>
      </c>
      <c r="U50" s="137">
        <f t="shared" si="42"/>
        <v>9</v>
      </c>
      <c r="V50" s="137">
        <f t="shared" si="42"/>
        <v>6.5</v>
      </c>
      <c r="W50" s="137">
        <f t="shared" si="42"/>
        <v>9</v>
      </c>
      <c r="X50" s="134">
        <f t="shared" si="42"/>
        <v>6.7777777777777759</v>
      </c>
      <c r="Y50" s="134">
        <f t="shared" si="42"/>
        <v>20</v>
      </c>
      <c r="Z50" s="135">
        <f>X50/Y50</f>
        <v>0.3388888888888888</v>
      </c>
      <c r="AA50" s="136"/>
      <c r="AB50" s="129">
        <f t="shared" si="33"/>
        <v>0.32500000000000001</v>
      </c>
      <c r="AC50" s="129">
        <f t="shared" si="34"/>
        <v>0.25</v>
      </c>
      <c r="AD50" s="129">
        <f t="shared" si="35"/>
        <v>0.55000000000000004</v>
      </c>
      <c r="AE50" s="129">
        <f t="shared" si="36"/>
        <v>0.35</v>
      </c>
      <c r="AF50" s="129">
        <f t="shared" si="37"/>
        <v>0.1</v>
      </c>
      <c r="AG50" s="129">
        <f t="shared" si="38"/>
        <v>0.25</v>
      </c>
      <c r="AH50" s="129">
        <f t="shared" si="39"/>
        <v>0.45</v>
      </c>
      <c r="AI50" s="129">
        <f t="shared" si="40"/>
        <v>0.32500000000000001</v>
      </c>
      <c r="AJ50" s="129">
        <f t="shared" si="41"/>
        <v>0.45</v>
      </c>
      <c r="AK50" s="129">
        <f t="shared" si="10"/>
        <v>0.33888888888888896</v>
      </c>
    </row>
    <row r="51" spans="2:38" ht="15" x14ac:dyDescent="0.25">
      <c r="E51" s="93"/>
      <c r="F51" s="93"/>
      <c r="G51" s="93"/>
      <c r="H51" s="93"/>
      <c r="I51" s="93"/>
      <c r="J51" s="93"/>
      <c r="K51" s="93"/>
      <c r="Z51" s="94"/>
      <c r="AA51" s="94"/>
    </row>
    <row r="52" spans="2:38" ht="15" x14ac:dyDescent="0.25">
      <c r="T52" s="93"/>
    </row>
    <row r="53" spans="2:38" ht="27.75" customHeight="1" x14ac:dyDescent="0.25">
      <c r="T53" s="93"/>
      <c r="Z53" s="167" t="s">
        <v>287</v>
      </c>
      <c r="AA53" s="167"/>
      <c r="AB53" s="101" t="s">
        <v>643</v>
      </c>
      <c r="AC53" s="146" t="s">
        <v>192</v>
      </c>
      <c r="AD53" s="146" t="s">
        <v>189</v>
      </c>
      <c r="AE53" s="146" t="s">
        <v>187</v>
      </c>
      <c r="AF53" s="146" t="s">
        <v>660</v>
      </c>
      <c r="AG53" s="146" t="s">
        <v>190</v>
      </c>
      <c r="AH53" s="146" t="s">
        <v>644</v>
      </c>
      <c r="AI53" s="146" t="s">
        <v>188</v>
      </c>
      <c r="AJ53" s="146" t="s">
        <v>186</v>
      </c>
      <c r="AK53" s="146" t="s">
        <v>286</v>
      </c>
    </row>
    <row r="54" spans="2:38" ht="27.75" customHeight="1" x14ac:dyDescent="0.25">
      <c r="T54" s="93"/>
      <c r="Z54" s="167" t="s">
        <v>6</v>
      </c>
      <c r="AA54" s="167"/>
      <c r="AB54" s="107">
        <f>AB15</f>
        <v>1</v>
      </c>
      <c r="AC54" s="107">
        <f t="shared" ref="AC54:AJ54" si="43">AC15</f>
        <v>0.86885245901639341</v>
      </c>
      <c r="AD54" s="107">
        <f t="shared" si="43"/>
        <v>0.83606557377049184</v>
      </c>
      <c r="AE54" s="107">
        <f t="shared" si="43"/>
        <v>0.96721311475409832</v>
      </c>
      <c r="AF54" s="107">
        <f t="shared" si="43"/>
        <v>0.52459016393442626</v>
      </c>
      <c r="AG54" s="107">
        <f t="shared" si="43"/>
        <v>0.88524590163934425</v>
      </c>
      <c r="AH54" s="107">
        <f t="shared" si="43"/>
        <v>0.82786885245901642</v>
      </c>
      <c r="AI54" s="107">
        <f t="shared" si="43"/>
        <v>0.80327868852459017</v>
      </c>
      <c r="AJ54" s="107">
        <f t="shared" si="43"/>
        <v>0.88524590163934425</v>
      </c>
      <c r="AK54" s="147">
        <f>AVERAGE(AB54:AJ54)</f>
        <v>0.84426229508196715</v>
      </c>
    </row>
    <row r="55" spans="2:38" ht="27.75" customHeight="1" x14ac:dyDescent="0.25">
      <c r="Z55" s="167" t="s">
        <v>67</v>
      </c>
      <c r="AA55" s="167"/>
      <c r="AB55" s="105">
        <f>AB26</f>
        <v>0.7142857142857143</v>
      </c>
      <c r="AC55" s="105">
        <f t="shared" ref="AC55:AJ55" si="44">AC26</f>
        <v>0.83333333333333337</v>
      </c>
      <c r="AD55" s="105">
        <f t="shared" si="44"/>
        <v>0.66666666666666663</v>
      </c>
      <c r="AE55" s="105">
        <f t="shared" si="44"/>
        <v>0.8571428571428571</v>
      </c>
      <c r="AF55" s="105">
        <f t="shared" si="44"/>
        <v>0.59523809523809523</v>
      </c>
      <c r="AG55" s="105">
        <f t="shared" si="44"/>
        <v>0.66666666666666663</v>
      </c>
      <c r="AH55" s="105">
        <f t="shared" si="44"/>
        <v>0.40476190476190477</v>
      </c>
      <c r="AI55" s="105">
        <f t="shared" si="44"/>
        <v>0.7857142857142857</v>
      </c>
      <c r="AJ55" s="105">
        <f t="shared" si="44"/>
        <v>0.6428571428571429</v>
      </c>
      <c r="AK55" s="147">
        <f>AVERAGE(AB55:AJ55)</f>
        <v>0.68518518518518534</v>
      </c>
    </row>
    <row r="56" spans="2:38" ht="27.75" customHeight="1" x14ac:dyDescent="0.25">
      <c r="Z56" s="167" t="s">
        <v>261</v>
      </c>
      <c r="AA56" s="167"/>
      <c r="AB56" s="107">
        <f>AB35</f>
        <v>0.88888888888888884</v>
      </c>
      <c r="AC56" s="107">
        <f t="shared" ref="AC56:AJ56" si="45">AC35</f>
        <v>0.5</v>
      </c>
      <c r="AD56" s="107">
        <f t="shared" si="45"/>
        <v>0.72222222222222221</v>
      </c>
      <c r="AE56" s="107">
        <f t="shared" si="45"/>
        <v>0.5</v>
      </c>
      <c r="AF56" s="107">
        <f t="shared" si="45"/>
        <v>0.33333333333333331</v>
      </c>
      <c r="AG56" s="107">
        <f t="shared" si="45"/>
        <v>0.55555555555555558</v>
      </c>
      <c r="AH56" s="107">
        <f t="shared" si="45"/>
        <v>0.27777777777777779</v>
      </c>
      <c r="AI56" s="107">
        <f t="shared" si="45"/>
        <v>0.55555555555555558</v>
      </c>
      <c r="AJ56" s="107">
        <f t="shared" si="45"/>
        <v>0.44444444444444442</v>
      </c>
      <c r="AK56" s="147">
        <f>AVERAGE(AB56:AJ56)</f>
        <v>0.53086419753086422</v>
      </c>
    </row>
    <row r="57" spans="2:38" ht="27.75" customHeight="1" x14ac:dyDescent="0.25">
      <c r="Z57" s="167" t="s">
        <v>282</v>
      </c>
      <c r="AA57" s="167"/>
      <c r="AB57" s="107">
        <f>AB50</f>
        <v>0.32500000000000001</v>
      </c>
      <c r="AC57" s="107">
        <f t="shared" ref="AC57:AJ57" si="46">AC50</f>
        <v>0.25</v>
      </c>
      <c r="AD57" s="107">
        <f t="shared" si="46"/>
        <v>0.55000000000000004</v>
      </c>
      <c r="AE57" s="107">
        <f t="shared" si="46"/>
        <v>0.35</v>
      </c>
      <c r="AF57" s="107">
        <f t="shared" si="46"/>
        <v>0.1</v>
      </c>
      <c r="AG57" s="107">
        <f t="shared" si="46"/>
        <v>0.25</v>
      </c>
      <c r="AH57" s="107">
        <f t="shared" si="46"/>
        <v>0.45</v>
      </c>
      <c r="AI57" s="107">
        <f t="shared" si="46"/>
        <v>0.32500000000000001</v>
      </c>
      <c r="AJ57" s="107">
        <f t="shared" si="46"/>
        <v>0.45</v>
      </c>
      <c r="AK57" s="147">
        <f>AVERAGE(AB57:AJ57)</f>
        <v>0.33888888888888896</v>
      </c>
    </row>
    <row r="58" spans="2:38" ht="27.75" customHeight="1" x14ac:dyDescent="0.25">
      <c r="Z58" s="167" t="s">
        <v>286</v>
      </c>
      <c r="AA58" s="167"/>
      <c r="AB58" s="107">
        <f t="shared" ref="AB58:AK58" si="47">AVERAGE(AB54:AB57)</f>
        <v>0.73204365079365086</v>
      </c>
      <c r="AC58" s="107">
        <f t="shared" si="47"/>
        <v>0.61304644808743169</v>
      </c>
      <c r="AD58" s="107">
        <f t="shared" si="47"/>
        <v>0.69373861566484529</v>
      </c>
      <c r="AE58" s="107">
        <f t="shared" si="47"/>
        <v>0.6685889929742389</v>
      </c>
      <c r="AF58" s="107">
        <f t="shared" si="47"/>
        <v>0.38829039812646371</v>
      </c>
      <c r="AG58" s="107">
        <f t="shared" si="47"/>
        <v>0.58936703096539156</v>
      </c>
      <c r="AH58" s="107">
        <f t="shared" si="47"/>
        <v>0.49010213374967476</v>
      </c>
      <c r="AI58" s="107">
        <f t="shared" si="47"/>
        <v>0.61738713244860799</v>
      </c>
      <c r="AJ58" s="107">
        <f t="shared" si="47"/>
        <v>0.60563687223523288</v>
      </c>
      <c r="AK58" s="116">
        <f t="shared" si="47"/>
        <v>0.59980014167172646</v>
      </c>
    </row>
  </sheetData>
  <mergeCells count="19">
    <mergeCell ref="Z53:AA53"/>
    <mergeCell ref="B17:B26"/>
    <mergeCell ref="B28:B35"/>
    <mergeCell ref="B37:B50"/>
    <mergeCell ref="B2:AO2"/>
    <mergeCell ref="B5:C5"/>
    <mergeCell ref="B6:B15"/>
    <mergeCell ref="C28:C35"/>
    <mergeCell ref="C37:C50"/>
    <mergeCell ref="AB4:AK4"/>
    <mergeCell ref="F4:N4"/>
    <mergeCell ref="C6:C15"/>
    <mergeCell ref="O4:Z4"/>
    <mergeCell ref="C17:C26"/>
    <mergeCell ref="Z58:AA58"/>
    <mergeCell ref="Z57:AA57"/>
    <mergeCell ref="Z56:AA56"/>
    <mergeCell ref="Z55:AA55"/>
    <mergeCell ref="Z54:AA5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CBFD44A4E3A54C8C9F279FEA0F36C8" ma:contentTypeVersion="20" ma:contentTypeDescription="Create a new document." ma:contentTypeScope="" ma:versionID="bf68143e4d70482ced0d6d9955b29a7e">
  <xsd:schema xmlns:xsd="http://www.w3.org/2001/XMLSchema" xmlns:xs="http://www.w3.org/2001/XMLSchema" xmlns:p="http://schemas.microsoft.com/office/2006/metadata/properties" xmlns:ns1="http://schemas.microsoft.com/sharepoint/v3" xmlns:ns2="80c2b54b-cfba-4398-bbe7-80bcd1329e02" xmlns:ns3="0ef027b5-06b5-4ab1-8e4e-3b574a7dbc49" targetNamespace="http://schemas.microsoft.com/office/2006/metadata/properties" ma:root="true" ma:fieldsID="e505764e112acc56bbb78eb03832fa02" ns1:_="" ns2:_="" ns3:_="">
    <xsd:import namespace="http://schemas.microsoft.com/sharepoint/v3"/>
    <xsd:import namespace="80c2b54b-cfba-4398-bbe7-80bcd1329e02"/>
    <xsd:import namespace="0ef027b5-06b5-4ab1-8e4e-3b574a7dbc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c2b54b-cfba-4398-bbe7-80bcd1329e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9fed22-85cd-4d4e-997d-2bc9e6c71fc6}" ma:internalName="TaxCatchAll" ma:showField="CatchAllData" ma:web="80c2b54b-cfba-4398-bbe7-80bcd1329e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f027b5-06b5-4ab1-8e4e-3b574a7dbc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88a5942-9b27-4a7b-8de0-795e82ee741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0c2b54b-cfba-4398-bbe7-80bcd1329e02" xsi:nil="true"/>
    <lcf76f155ced4ddcb4097134ff3c332f xmlns="0ef027b5-06b5-4ab1-8e4e-3b574a7dbc49">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A08AFA-5520-427C-B25A-B2D77FE97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c2b54b-cfba-4398-bbe7-80bcd1329e02"/>
    <ds:schemaRef ds:uri="0ef027b5-06b5-4ab1-8e4e-3b574a7db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24B7EB-D558-4E25-9EA0-EC6685754C10}">
  <ds:schemaRefs>
    <ds:schemaRef ds:uri="http://purl.org/dc/terms/"/>
    <ds:schemaRef ds:uri="http://purl.org/dc/elements/1.1/"/>
    <ds:schemaRef ds:uri="http://purl.org/dc/dcmitype/"/>
    <ds:schemaRef ds:uri="http://www.w3.org/XML/1998/namespace"/>
    <ds:schemaRef ds:uri="0ef027b5-06b5-4ab1-8e4e-3b574a7dbc49"/>
    <ds:schemaRef ds:uri="http://schemas.microsoft.com/office/2006/documentManagement/types"/>
    <ds:schemaRef ds:uri="http://schemas.microsoft.com/office/infopath/2007/PartnerControls"/>
    <ds:schemaRef ds:uri="http://schemas.openxmlformats.org/package/2006/metadata/core-properties"/>
    <ds:schemaRef ds:uri="80c2b54b-cfba-4398-bbe7-80bcd1329e02"/>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A8217AA8-E490-404A-B5A7-EADE8CA523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Questionnaire</vt:lpstr>
      <vt:lpstr>Scorecards</vt:lpstr>
      <vt:lpstr>CARE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Luna</dc:creator>
  <cp:lastModifiedBy>Katherine Clark</cp:lastModifiedBy>
  <dcterms:created xsi:type="dcterms:W3CDTF">2023-09-18T17:55:12Z</dcterms:created>
  <dcterms:modified xsi:type="dcterms:W3CDTF">2024-01-29T21:24:06Z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0x0101008CCBFD44A4E3A54C8C9F279FEA0F36C8</vt:lpwstr>
  </property>
  <property fmtid="{D5CDD505-2E9C-101B-9397-08002B2CF9AE}" pid="3" name="MediaServiceImageTags">
    <vt:lpwstr/>
  </property>
</Properties>
</file>